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defaultThemeVersion="124226"/>
  <mc:AlternateContent xmlns:mc="http://schemas.openxmlformats.org/markup-compatibility/2006">
    <mc:Choice Requires="x15">
      <x15ac:absPath xmlns:x15ac="http://schemas.microsoft.com/office/spreadsheetml/2010/11/ac" url="\\192.168.1.234\lideres hrm\2. CMI HRM\2023\BSC ESE Hospital Regional Moniquira 2023\"/>
    </mc:Choice>
  </mc:AlternateContent>
  <xr:revisionPtr revIDLastSave="0" documentId="13_ncr:1_{9171C8BE-5E4C-4050-A46B-45E0CAA7D99F}" xr6:coauthVersionLast="47" xr6:coauthVersionMax="47" xr10:uidLastSave="{00000000-0000-0000-0000-000000000000}"/>
  <workbookProtection workbookAlgorithmName="SHA-512" workbookHashValue="91aWev861zIGwj09xAvgAannoUxjelteiWfj9lFUQOimA3z8CRgoTdmqsLFgJtKhaTzmVWuKuWNbwkh+PfcMZQ==" workbookSaltValue="TjNuy1MeY8z+NH1pEFqO5w==" workbookSpinCount="100000" lockStructure="1"/>
  <bookViews>
    <workbookView xWindow="-120" yWindow="-120" windowWidth="29040" windowHeight="15720" tabRatio="855" xr2:uid="{00000000-000D-0000-FFFF-FFFF00000000}"/>
  </bookViews>
  <sheets>
    <sheet name="BALANCES COMP" sheetId="2" r:id="rId1"/>
    <sheet name="RESULTADOS DESAGR" sheetId="4" r:id="rId2"/>
    <sheet name="ANALISIS FINANCIERO ESE" sheetId="6" r:id="rId3"/>
    <sheet name="EVALUACION GLOBAL" sheetId="7" r:id="rId4"/>
    <sheet name="BALANCES" sheetId="14" r:id="rId5"/>
    <sheet name="RESULTADOS" sheetId="15" r:id="rId6"/>
    <sheet name="ACTIVO CTE" sheetId="16" r:id="rId7"/>
    <sheet name="ACTIVOS" sheetId="17" r:id="rId8"/>
  </sheets>
  <externalReferences>
    <externalReference r:id="rId9"/>
  </externalReferences>
  <definedNames>
    <definedName name="\p">#REF!</definedName>
    <definedName name="ABC">#REF!</definedName>
    <definedName name="_xlnm.Print_Area" localSheetId="2">'ANALISIS FINANCIERO ESE'!$B$1:$W$65</definedName>
    <definedName name="_xlnm.Print_Area" localSheetId="3">'EVALUACION GLOBAL'!$A$103:$L$182</definedName>
    <definedName name="DIVIDENDOS">#N/A</definedName>
    <definedName name="ENSAYO">#REF!</definedName>
    <definedName name="MACRO">#REF!</definedName>
    <definedName name="PAAG">#N/A</definedName>
    <definedName name="PLAZO_DEPREC">#N/A</definedName>
    <definedName name="PRINT_AREA">#N/A</definedName>
    <definedName name="ROTCC">#REF!</definedName>
    <definedName name="ROTINV">#REF!</definedName>
    <definedName name="SUPUESTOS">#N/A</definedName>
    <definedName name="TABLATIR">#N/A</definedName>
    <definedName name="_xlnm.Print_Titles" localSheetId="2">'ANALISIS FINANCIERO ESE'!$1:$8</definedName>
    <definedName name="ZONA">#N/A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4" i="2" l="1"/>
  <c r="C26" i="4"/>
  <c r="S27" i="2"/>
  <c r="C35" i="4"/>
  <c r="C58" i="2" l="1"/>
  <c r="C48" i="2"/>
  <c r="C16" i="2"/>
  <c r="I9" i="6" l="1"/>
  <c r="C48" i="4"/>
  <c r="C44" i="2" l="1"/>
  <c r="L143" i="7" s="1"/>
  <c r="M143" i="7" s="1"/>
  <c r="C30" i="4"/>
  <c r="I59" i="6"/>
  <c r="Q59" i="6" s="1"/>
  <c r="C17" i="2"/>
  <c r="L142" i="7" s="1"/>
  <c r="M142" i="7" s="1"/>
  <c r="S53" i="2"/>
  <c r="S51" i="2" s="1"/>
  <c r="W53" i="2"/>
  <c r="W51" i="2" s="1"/>
  <c r="I23" i="6"/>
  <c r="C71" i="2"/>
  <c r="C65" i="2" s="1"/>
  <c r="C16" i="4"/>
  <c r="I11" i="6" s="1"/>
  <c r="C38" i="4"/>
  <c r="C25" i="4"/>
  <c r="C24" i="4" s="1"/>
  <c r="I13" i="6" s="1"/>
  <c r="E47" i="4"/>
  <c r="H19" i="6"/>
  <c r="U19" i="2"/>
  <c r="E56" i="2"/>
  <c r="H41" i="6"/>
  <c r="Y27" i="2"/>
  <c r="Y19" i="2" s="1"/>
  <c r="Y13" i="2" s="1"/>
  <c r="F49" i="6" s="1"/>
  <c r="AA30" i="2"/>
  <c r="AC30" i="2"/>
  <c r="AC29" i="2"/>
  <c r="AE30" i="2"/>
  <c r="AE29" i="2" s="1"/>
  <c r="I16" i="2"/>
  <c r="I14" i="2" s="1"/>
  <c r="I13" i="2" s="1"/>
  <c r="K16" i="2"/>
  <c r="K14" i="2" s="1"/>
  <c r="E24" i="6" s="1"/>
  <c r="M16" i="2"/>
  <c r="O16" i="2"/>
  <c r="O14" i="2" s="1"/>
  <c r="H9" i="6"/>
  <c r="X8" i="6" s="1"/>
  <c r="G9" i="6"/>
  <c r="G23" i="6" s="1"/>
  <c r="F9" i="6"/>
  <c r="M9" i="6"/>
  <c r="M23" i="6" s="1"/>
  <c r="E9" i="6"/>
  <c r="L9" i="6" s="1"/>
  <c r="L23" i="6" s="1"/>
  <c r="D9" i="6"/>
  <c r="K9" i="6"/>
  <c r="K23" i="6" s="1"/>
  <c r="C9" i="6"/>
  <c r="C23" i="6"/>
  <c r="G16" i="4"/>
  <c r="I16" i="4"/>
  <c r="K16" i="4"/>
  <c r="E11" i="6" s="1"/>
  <c r="M16" i="4"/>
  <c r="O16" i="4"/>
  <c r="G20" i="4"/>
  <c r="I20" i="4"/>
  <c r="K20" i="4"/>
  <c r="M20" i="4"/>
  <c r="D12" i="6"/>
  <c r="O20" i="4"/>
  <c r="O15" i="4" s="1"/>
  <c r="G25" i="4"/>
  <c r="G24" i="4"/>
  <c r="G13" i="6"/>
  <c r="I25" i="4"/>
  <c r="I24" i="4"/>
  <c r="F13" i="6" s="1"/>
  <c r="K25" i="4"/>
  <c r="K24" i="4"/>
  <c r="E13" i="6"/>
  <c r="M25" i="4"/>
  <c r="M24" i="4"/>
  <c r="O25" i="4"/>
  <c r="O24" i="4"/>
  <c r="C13" i="6"/>
  <c r="I30" i="4"/>
  <c r="I28" i="4" s="1"/>
  <c r="F15" i="6" s="1"/>
  <c r="M15" i="6" s="1"/>
  <c r="G31" i="4"/>
  <c r="G30" i="4" s="1"/>
  <c r="G28" i="4" s="1"/>
  <c r="G15" i="6" s="1"/>
  <c r="I31" i="4"/>
  <c r="K31" i="4"/>
  <c r="K30" i="4"/>
  <c r="M31" i="4"/>
  <c r="M30" i="4"/>
  <c r="O31" i="4"/>
  <c r="O30" i="4" s="1"/>
  <c r="G38" i="4"/>
  <c r="I38" i="4"/>
  <c r="K38" i="4"/>
  <c r="M38" i="4"/>
  <c r="O38" i="4"/>
  <c r="G47" i="4"/>
  <c r="I47" i="4"/>
  <c r="F19" i="6"/>
  <c r="K47" i="4"/>
  <c r="M47" i="4"/>
  <c r="D19" i="6"/>
  <c r="K19" i="6" s="1"/>
  <c r="O47" i="4"/>
  <c r="C19" i="6" s="1"/>
  <c r="J19" i="6" s="1"/>
  <c r="G53" i="4"/>
  <c r="G17" i="6" s="1"/>
  <c r="N17" i="6" s="1"/>
  <c r="I53" i="4"/>
  <c r="K53" i="4"/>
  <c r="E17" i="6" s="1"/>
  <c r="L17" i="6" s="1"/>
  <c r="M53" i="4"/>
  <c r="O53" i="4"/>
  <c r="G56" i="4"/>
  <c r="G18" i="6" s="1"/>
  <c r="I56" i="4"/>
  <c r="F18" i="6"/>
  <c r="K56" i="4"/>
  <c r="M56" i="4"/>
  <c r="O56" i="4"/>
  <c r="C18" i="6" s="1"/>
  <c r="W15" i="2"/>
  <c r="Y15" i="2"/>
  <c r="AA15" i="2"/>
  <c r="AC15" i="2"/>
  <c r="AE15" i="2"/>
  <c r="W19" i="2"/>
  <c r="AA19" i="2"/>
  <c r="AC19" i="2"/>
  <c r="AE19" i="2"/>
  <c r="W29" i="2"/>
  <c r="Y29" i="2"/>
  <c r="F48" i="6" s="1"/>
  <c r="AA29" i="2"/>
  <c r="E48" i="6" s="1"/>
  <c r="C48" i="6"/>
  <c r="W33" i="2"/>
  <c r="Y33" i="2"/>
  <c r="AA33" i="2"/>
  <c r="AC33" i="2"/>
  <c r="AE33" i="2"/>
  <c r="W37" i="2"/>
  <c r="Y37" i="2"/>
  <c r="AA37" i="2"/>
  <c r="AC37" i="2"/>
  <c r="AE37" i="2"/>
  <c r="W41" i="2"/>
  <c r="W40" i="2" s="1"/>
  <c r="W49" i="2" s="1"/>
  <c r="Y41" i="2"/>
  <c r="AA41" i="2"/>
  <c r="AC41" i="2"/>
  <c r="AC40" i="2"/>
  <c r="AE41" i="2"/>
  <c r="W46" i="2"/>
  <c r="Y46" i="2"/>
  <c r="F51" i="6" s="1"/>
  <c r="AA46" i="2"/>
  <c r="E51" i="6" s="1"/>
  <c r="AC46" i="2"/>
  <c r="D51" i="6"/>
  <c r="AE46" i="2"/>
  <c r="Y53" i="2"/>
  <c r="Y51" i="2" s="1"/>
  <c r="AA53" i="2"/>
  <c r="AA51" i="2"/>
  <c r="AC53" i="2"/>
  <c r="AC51" i="2"/>
  <c r="AE53" i="2"/>
  <c r="AE51" i="2" s="1"/>
  <c r="W66" i="2"/>
  <c r="Y66" i="2"/>
  <c r="AA66" i="2"/>
  <c r="AC66" i="2"/>
  <c r="AE66" i="2"/>
  <c r="G14" i="2"/>
  <c r="M14" i="2"/>
  <c r="G17" i="2"/>
  <c r="G25" i="6"/>
  <c r="I17" i="2"/>
  <c r="F25" i="6" s="1"/>
  <c r="K17" i="2"/>
  <c r="O17" i="2"/>
  <c r="C25" i="6" s="1"/>
  <c r="M23" i="2"/>
  <c r="M17" i="2"/>
  <c r="M13" i="2" s="1"/>
  <c r="M64" i="2" s="1"/>
  <c r="G25" i="2"/>
  <c r="I25" i="2"/>
  <c r="K25" i="2"/>
  <c r="M25" i="2"/>
  <c r="O25" i="2"/>
  <c r="G29" i="2"/>
  <c r="I29" i="2"/>
  <c r="F28" i="6" s="1"/>
  <c r="F128" i="6" s="1"/>
  <c r="K29" i="2"/>
  <c r="E28" i="6" s="1"/>
  <c r="M29" i="2"/>
  <c r="O29" i="2"/>
  <c r="C28" i="6"/>
  <c r="C128" i="6" s="1"/>
  <c r="G35" i="2"/>
  <c r="G39" i="6" s="1"/>
  <c r="I35" i="2"/>
  <c r="F39" i="6" s="1"/>
  <c r="K35" i="2"/>
  <c r="M35" i="2"/>
  <c r="O35" i="2"/>
  <c r="G37" i="2"/>
  <c r="I37" i="2"/>
  <c r="K37" i="2"/>
  <c r="K34" i="2" s="1"/>
  <c r="M37" i="2"/>
  <c r="O37" i="2"/>
  <c r="C38" i="6"/>
  <c r="G44" i="2"/>
  <c r="I44" i="2"/>
  <c r="K44" i="2"/>
  <c r="M48" i="2"/>
  <c r="D31" i="6"/>
  <c r="T37" i="6"/>
  <c r="O48" i="2"/>
  <c r="O44" i="2"/>
  <c r="I56" i="2"/>
  <c r="K56" i="2"/>
  <c r="E41" i="6" s="1"/>
  <c r="M56" i="2"/>
  <c r="D41" i="6" s="1"/>
  <c r="S42" i="6" s="1"/>
  <c r="O56" i="2"/>
  <c r="C41" i="6"/>
  <c r="G58" i="2"/>
  <c r="G65" i="2"/>
  <c r="I65" i="2"/>
  <c r="K65" i="2"/>
  <c r="M65" i="2"/>
  <c r="O65" i="2"/>
  <c r="E56" i="4"/>
  <c r="H18" i="6"/>
  <c r="O18" i="6" s="1"/>
  <c r="E53" i="4"/>
  <c r="E38" i="4"/>
  <c r="E30" i="4"/>
  <c r="E28" i="4" s="1"/>
  <c r="H15" i="6" s="1"/>
  <c r="O15" i="6" s="1"/>
  <c r="E25" i="4"/>
  <c r="E24" i="4"/>
  <c r="E20" i="4"/>
  <c r="H12" i="6" s="1"/>
  <c r="E16" i="4"/>
  <c r="H11" i="6"/>
  <c r="U66" i="2"/>
  <c r="U53" i="2"/>
  <c r="U51" i="2" s="1"/>
  <c r="U46" i="2"/>
  <c r="H51" i="6"/>
  <c r="C52" i="6"/>
  <c r="U41" i="2"/>
  <c r="H52" i="6"/>
  <c r="U37" i="2"/>
  <c r="U33" i="2"/>
  <c r="G48" i="6"/>
  <c r="U29" i="2"/>
  <c r="H48" i="6" s="1"/>
  <c r="U15" i="2"/>
  <c r="E65" i="2"/>
  <c r="F41" i="6"/>
  <c r="U42" i="6" s="1"/>
  <c r="E44" i="2"/>
  <c r="E37" i="2"/>
  <c r="E35" i="2"/>
  <c r="H39" i="6" s="1"/>
  <c r="G28" i="6"/>
  <c r="G128" i="6"/>
  <c r="E29" i="2"/>
  <c r="E25" i="2"/>
  <c r="E13" i="2" s="1"/>
  <c r="E64" i="2" s="1"/>
  <c r="E25" i="6"/>
  <c r="E17" i="2"/>
  <c r="H25" i="6"/>
  <c r="H126" i="6"/>
  <c r="E14" i="2"/>
  <c r="H24" i="6"/>
  <c r="X61" i="6"/>
  <c r="D60" i="6"/>
  <c r="R7" i="6"/>
  <c r="B7" i="6"/>
  <c r="A7" i="4"/>
  <c r="M129" i="7"/>
  <c r="M128" i="7"/>
  <c r="M127" i="7"/>
  <c r="M126" i="7"/>
  <c r="E18" i="6"/>
  <c r="L18" i="6" s="1"/>
  <c r="D17" i="6"/>
  <c r="E19" i="6"/>
  <c r="F12" i="6"/>
  <c r="M12" i="6" s="1"/>
  <c r="G12" i="6"/>
  <c r="F38" i="6"/>
  <c r="G38" i="6"/>
  <c r="H38" i="6"/>
  <c r="D28" i="6"/>
  <c r="D128" i="6" s="1"/>
  <c r="C59" i="6"/>
  <c r="G51" i="6"/>
  <c r="G36" i="6"/>
  <c r="V31" i="6" s="1"/>
  <c r="C17" i="6"/>
  <c r="G19" i="6"/>
  <c r="AE11" i="2"/>
  <c r="AC11" i="2"/>
  <c r="AA11" i="2"/>
  <c r="C47" i="4"/>
  <c r="I19" i="6" s="1"/>
  <c r="C12" i="4"/>
  <c r="S29" i="2"/>
  <c r="I48" i="6" s="1"/>
  <c r="Q48" i="6" s="1"/>
  <c r="S19" i="2"/>
  <c r="I43" i="6"/>
  <c r="C56" i="2"/>
  <c r="I41" i="6" s="1"/>
  <c r="I35" i="6"/>
  <c r="Q35" i="6" s="1"/>
  <c r="I34" i="6"/>
  <c r="Q34" i="6" s="1"/>
  <c r="I32" i="6"/>
  <c r="I30" i="6"/>
  <c r="C37" i="2"/>
  <c r="C35" i="2"/>
  <c r="I39" i="6"/>
  <c r="D18" i="6"/>
  <c r="K18" i="6" s="1"/>
  <c r="F17" i="6"/>
  <c r="M17" i="6" s="1"/>
  <c r="H17" i="6"/>
  <c r="H28" i="6"/>
  <c r="H128" i="6"/>
  <c r="I62" i="6"/>
  <c r="Q62" i="6" s="1"/>
  <c r="I58" i="6"/>
  <c r="S33" i="2"/>
  <c r="I47" i="6"/>
  <c r="Q47" i="6" s="1"/>
  <c r="I36" i="6"/>
  <c r="Q36" i="6" s="1"/>
  <c r="I33" i="6"/>
  <c r="Q33" i="6" s="1"/>
  <c r="H62" i="6"/>
  <c r="H59" i="6"/>
  <c r="H63" i="6" s="1"/>
  <c r="H117" i="6" s="1"/>
  <c r="H58" i="6"/>
  <c r="H57" i="6"/>
  <c r="H47" i="6"/>
  <c r="W57" i="6"/>
  <c r="H36" i="6"/>
  <c r="H33" i="6"/>
  <c r="H31" i="6"/>
  <c r="X37" i="6" s="1"/>
  <c r="H35" i="6"/>
  <c r="H30" i="6"/>
  <c r="Y11" i="2"/>
  <c r="W11" i="2"/>
  <c r="U11" i="2"/>
  <c r="S11" i="2"/>
  <c r="Y10" i="2"/>
  <c r="W10" i="2"/>
  <c r="U10" i="2"/>
  <c r="S10" i="2"/>
  <c r="S15" i="2"/>
  <c r="Q42" i="6"/>
  <c r="I61" i="6"/>
  <c r="Q61" i="6"/>
  <c r="I53" i="6"/>
  <c r="X46" i="6" s="1"/>
  <c r="I40" i="6"/>
  <c r="Q40" i="6" s="1"/>
  <c r="I27" i="6"/>
  <c r="C20" i="4"/>
  <c r="I12" i="6" s="1"/>
  <c r="C53" i="4"/>
  <c r="I17" i="6" s="1"/>
  <c r="S37" i="2"/>
  <c r="S41" i="2"/>
  <c r="I52" i="6" s="1"/>
  <c r="Q52" i="6" s="1"/>
  <c r="S46" i="2"/>
  <c r="S40" i="2" s="1"/>
  <c r="C29" i="2"/>
  <c r="I28" i="6"/>
  <c r="G26" i="6"/>
  <c r="V56" i="6" s="1"/>
  <c r="F26" i="6"/>
  <c r="E26" i="6"/>
  <c r="D26" i="6"/>
  <c r="S51" i="6"/>
  <c r="C26" i="6"/>
  <c r="H27" i="6"/>
  <c r="G27" i="6"/>
  <c r="H53" i="6"/>
  <c r="G53" i="6"/>
  <c r="W46" i="6" s="1"/>
  <c r="F53" i="6"/>
  <c r="U46" i="6" s="1"/>
  <c r="E53" i="6"/>
  <c r="D53" i="6"/>
  <c r="C53" i="6"/>
  <c r="F60" i="6"/>
  <c r="E60" i="6"/>
  <c r="C60" i="6"/>
  <c r="H61" i="6"/>
  <c r="H43" i="6"/>
  <c r="Q43" i="6"/>
  <c r="F27" i="6"/>
  <c r="E27" i="6"/>
  <c r="E127" i="6" s="1"/>
  <c r="D27" i="6"/>
  <c r="C27" i="6"/>
  <c r="E62" i="6"/>
  <c r="D62" i="6"/>
  <c r="C62" i="6"/>
  <c r="E61" i="6"/>
  <c r="D61" i="6"/>
  <c r="C61" i="6"/>
  <c r="E59" i="6"/>
  <c r="D59" i="6"/>
  <c r="E58" i="6"/>
  <c r="D58" i="6"/>
  <c r="C58" i="6"/>
  <c r="E57" i="6"/>
  <c r="D57" i="6"/>
  <c r="C57" i="6"/>
  <c r="E47" i="6"/>
  <c r="D47" i="6"/>
  <c r="T57" i="6"/>
  <c r="C47" i="6"/>
  <c r="E43" i="6"/>
  <c r="D43" i="6"/>
  <c r="C43" i="6"/>
  <c r="E40" i="6"/>
  <c r="C40" i="6"/>
  <c r="E36" i="6"/>
  <c r="D36" i="6"/>
  <c r="S31" i="6"/>
  <c r="C36" i="6"/>
  <c r="E35" i="6"/>
  <c r="D35" i="6"/>
  <c r="C35" i="6"/>
  <c r="E34" i="6"/>
  <c r="D34" i="6"/>
  <c r="S40" i="6" s="1"/>
  <c r="C34" i="6"/>
  <c r="E33" i="6"/>
  <c r="T39" i="6" s="1"/>
  <c r="D33" i="6"/>
  <c r="S39" i="6"/>
  <c r="C33" i="6"/>
  <c r="E32" i="6"/>
  <c r="D32" i="6"/>
  <c r="S38" i="6" s="1"/>
  <c r="C32" i="6"/>
  <c r="E31" i="6"/>
  <c r="E30" i="6"/>
  <c r="T36" i="6" s="1"/>
  <c r="D30" i="6"/>
  <c r="T45" i="6" s="1"/>
  <c r="C30" i="6"/>
  <c r="J22" i="6"/>
  <c r="Q22" i="6"/>
  <c r="Q23" i="6"/>
  <c r="F30" i="6"/>
  <c r="U36" i="6"/>
  <c r="G30" i="6"/>
  <c r="F31" i="6"/>
  <c r="G31" i="6"/>
  <c r="F32" i="6"/>
  <c r="G32" i="6"/>
  <c r="G37" i="6" s="1"/>
  <c r="F33" i="6"/>
  <c r="U39" i="6" s="1"/>
  <c r="G33" i="6"/>
  <c r="F34" i="6"/>
  <c r="G34" i="6"/>
  <c r="V40" i="6" s="1"/>
  <c r="F35" i="6"/>
  <c r="G35" i="6"/>
  <c r="F36" i="6"/>
  <c r="F37" i="6" s="1"/>
  <c r="F43" i="6"/>
  <c r="G43" i="6"/>
  <c r="F47" i="6"/>
  <c r="V57" i="6"/>
  <c r="G47" i="6"/>
  <c r="F57" i="6"/>
  <c r="G57" i="6"/>
  <c r="F58" i="6"/>
  <c r="G58" i="6"/>
  <c r="F59" i="6"/>
  <c r="G59" i="6"/>
  <c r="F61" i="6"/>
  <c r="G61" i="6"/>
  <c r="F62" i="6"/>
  <c r="G62" i="6"/>
  <c r="H34" i="6"/>
  <c r="C14" i="2"/>
  <c r="I24" i="6" s="1"/>
  <c r="I132" i="6" s="1"/>
  <c r="H26" i="6"/>
  <c r="H60" i="6"/>
  <c r="C56" i="4"/>
  <c r="I18" i="6" s="1"/>
  <c r="S66" i="2"/>
  <c r="I31" i="6"/>
  <c r="I60" i="6"/>
  <c r="D40" i="6"/>
  <c r="H32" i="6"/>
  <c r="F40" i="6"/>
  <c r="C11" i="6"/>
  <c r="E52" i="6"/>
  <c r="F11" i="6"/>
  <c r="G52" i="6"/>
  <c r="G54" i="6" s="1"/>
  <c r="Q27" i="6"/>
  <c r="D11" i="6"/>
  <c r="D38" i="6"/>
  <c r="E39" i="6"/>
  <c r="I26" i="6"/>
  <c r="X56" i="6" s="1"/>
  <c r="C25" i="2"/>
  <c r="Q53" i="6"/>
  <c r="M44" i="2"/>
  <c r="M34" i="2" s="1"/>
  <c r="G13" i="2"/>
  <c r="Q30" i="6"/>
  <c r="M18" i="6"/>
  <c r="K13" i="2"/>
  <c r="K64" i="2" s="1"/>
  <c r="S56" i="6"/>
  <c r="AA40" i="2"/>
  <c r="M28" i="4"/>
  <c r="D15" i="6"/>
  <c r="K15" i="6" s="1"/>
  <c r="K28" i="4"/>
  <c r="E15" i="6" s="1"/>
  <c r="L15" i="6" s="1"/>
  <c r="M15" i="4"/>
  <c r="M45" i="4" s="1"/>
  <c r="M63" i="4" s="1"/>
  <c r="U32" i="6"/>
  <c r="T46" i="6"/>
  <c r="I15" i="4"/>
  <c r="I45" i="4" s="1"/>
  <c r="I63" i="4" s="1"/>
  <c r="T40" i="6"/>
  <c r="W36" i="6"/>
  <c r="G15" i="4"/>
  <c r="C31" i="6"/>
  <c r="S37" i="6" s="1"/>
  <c r="H40" i="6"/>
  <c r="E15" i="4"/>
  <c r="H133" i="6"/>
  <c r="U57" i="6"/>
  <c r="H125" i="6"/>
  <c r="H132" i="6"/>
  <c r="W60" i="6"/>
  <c r="AA13" i="2"/>
  <c r="E49" i="6" s="1"/>
  <c r="U53" i="6" s="1"/>
  <c r="W13" i="2"/>
  <c r="Q60" i="6"/>
  <c r="E63" i="6"/>
  <c r="L63" i="6" s="1"/>
  <c r="S8" i="6"/>
  <c r="U8" i="6"/>
  <c r="F23" i="6"/>
  <c r="V8" i="6"/>
  <c r="BG468" i="6"/>
  <c r="N9" i="6"/>
  <c r="N23" i="6" s="1"/>
  <c r="T8" i="6"/>
  <c r="K11" i="6"/>
  <c r="K12" i="6"/>
  <c r="G45" i="4"/>
  <c r="G63" i="4" s="1"/>
  <c r="K17" i="6"/>
  <c r="AE13" i="2"/>
  <c r="C49" i="6"/>
  <c r="AC13" i="2"/>
  <c r="D49" i="6"/>
  <c r="U52" i="6"/>
  <c r="V52" i="6"/>
  <c r="E54" i="6"/>
  <c r="S57" i="6"/>
  <c r="G126" i="6"/>
  <c r="W50" i="6"/>
  <c r="T32" i="6"/>
  <c r="U38" i="6"/>
  <c r="F127" i="6"/>
  <c r="T38" i="6"/>
  <c r="S32" i="6"/>
  <c r="V37" i="6"/>
  <c r="W37" i="6"/>
  <c r="D39" i="6"/>
  <c r="F24" i="6"/>
  <c r="U45" i="6"/>
  <c r="C127" i="6"/>
  <c r="T31" i="6"/>
  <c r="U56" i="6"/>
  <c r="U40" i="6"/>
  <c r="V36" i="6"/>
  <c r="X31" i="6"/>
  <c r="E133" i="6"/>
  <c r="E126" i="6"/>
  <c r="I128" i="6"/>
  <c r="Q28" i="6"/>
  <c r="J13" i="6"/>
  <c r="C126" i="6"/>
  <c r="H120" i="6"/>
  <c r="O12" i="6"/>
  <c r="O19" i="6"/>
  <c r="O17" i="6"/>
  <c r="V38" i="6"/>
  <c r="W55" i="6"/>
  <c r="V39" i="6"/>
  <c r="E34" i="2"/>
  <c r="X36" i="6"/>
  <c r="V55" i="6"/>
  <c r="T52" i="6"/>
  <c r="E23" i="6"/>
  <c r="D127" i="6"/>
  <c r="Q58" i="6"/>
  <c r="D13" i="6"/>
  <c r="D14" i="6" s="1"/>
  <c r="D16" i="6" s="1"/>
  <c r="K16" i="6" s="1"/>
  <c r="D120" i="6"/>
  <c r="Q31" i="6"/>
  <c r="U51" i="6"/>
  <c r="S52" i="6"/>
  <c r="F14" i="6"/>
  <c r="M14" i="6" s="1"/>
  <c r="T51" i="6"/>
  <c r="D52" i="6"/>
  <c r="T47" i="6"/>
  <c r="G11" i="6"/>
  <c r="N13" i="6" s="1"/>
  <c r="D23" i="6"/>
  <c r="W52" i="6"/>
  <c r="U40" i="2"/>
  <c r="V51" i="6"/>
  <c r="T56" i="6"/>
  <c r="W39" i="6"/>
  <c r="S46" i="6"/>
  <c r="M19" i="6"/>
  <c r="J17" i="6"/>
  <c r="J18" i="6"/>
  <c r="D24" i="6"/>
  <c r="S45" i="6"/>
  <c r="G133" i="6"/>
  <c r="H37" i="6"/>
  <c r="W45" i="6"/>
  <c r="G24" i="6"/>
  <c r="J9" i="6"/>
  <c r="J23" i="6" s="1"/>
  <c r="H13" i="6"/>
  <c r="BG472" i="6"/>
  <c r="T18" i="6" s="1"/>
  <c r="V46" i="6"/>
  <c r="D48" i="6"/>
  <c r="U37" i="6"/>
  <c r="E45" i="4"/>
  <c r="E63" i="4" s="1"/>
  <c r="U60" i="6"/>
  <c r="U62" i="6" s="1"/>
  <c r="L62" i="6"/>
  <c r="L61" i="6"/>
  <c r="S47" i="6"/>
  <c r="AC49" i="2"/>
  <c r="AC63" i="2" s="1"/>
  <c r="F125" i="6"/>
  <c r="T41" i="6"/>
  <c r="N18" i="6"/>
  <c r="N11" i="6"/>
  <c r="G120" i="6"/>
  <c r="N19" i="6"/>
  <c r="N12" i="6"/>
  <c r="D54" i="6"/>
  <c r="T35" i="6" s="1"/>
  <c r="G14" i="6"/>
  <c r="G16" i="6" s="1"/>
  <c r="G49" i="6"/>
  <c r="D121" i="6"/>
  <c r="D50" i="6"/>
  <c r="N14" i="6"/>
  <c r="T60" i="6"/>
  <c r="T62" i="6" s="1"/>
  <c r="U61" i="6"/>
  <c r="H121" i="6"/>
  <c r="O13" i="6"/>
  <c r="T61" i="6"/>
  <c r="S60" i="6"/>
  <c r="D132" i="6"/>
  <c r="D125" i="6"/>
  <c r="N16" i="6"/>
  <c r="W47" i="6" l="1"/>
  <c r="X32" i="6"/>
  <c r="C28" i="4"/>
  <c r="I15" i="6" s="1"/>
  <c r="I121" i="6" s="1"/>
  <c r="X39" i="6"/>
  <c r="X40" i="6"/>
  <c r="I37" i="6"/>
  <c r="Q37" i="6" s="1"/>
  <c r="X52" i="6"/>
  <c r="X57" i="6"/>
  <c r="G60" i="6"/>
  <c r="G63" i="6" s="1"/>
  <c r="W63" i="2"/>
  <c r="BG473" i="6"/>
  <c r="Y19" i="6" s="1"/>
  <c r="P9" i="6"/>
  <c r="P23" i="6" s="1"/>
  <c r="Y8" i="6"/>
  <c r="BG470" i="6"/>
  <c r="BH470" i="6" s="1"/>
  <c r="I57" i="6"/>
  <c r="Q57" i="6" s="1"/>
  <c r="P12" i="6"/>
  <c r="P17" i="6"/>
  <c r="C15" i="4"/>
  <c r="S13" i="2"/>
  <c r="I49" i="6" s="1"/>
  <c r="I50" i="6" s="1"/>
  <c r="L144" i="7"/>
  <c r="M144" i="7" s="1"/>
  <c r="I127" i="6"/>
  <c r="C13" i="2"/>
  <c r="L141" i="7"/>
  <c r="M141" i="7" s="1"/>
  <c r="G56" i="2"/>
  <c r="G40" i="6"/>
  <c r="V41" i="6"/>
  <c r="F121" i="6"/>
  <c r="M13" i="6"/>
  <c r="V17" i="6"/>
  <c r="F16" i="6"/>
  <c r="C34" i="2"/>
  <c r="I38" i="6"/>
  <c r="L51" i="6"/>
  <c r="L11" i="6"/>
  <c r="L19" i="6"/>
  <c r="O13" i="2"/>
  <c r="O64" i="2" s="1"/>
  <c r="C24" i="6"/>
  <c r="W17" i="6"/>
  <c r="F132" i="6"/>
  <c r="F29" i="6"/>
  <c r="V61" i="6"/>
  <c r="D63" i="6"/>
  <c r="S17" i="6"/>
  <c r="C133" i="6"/>
  <c r="G121" i="6"/>
  <c r="N15" i="6"/>
  <c r="V53" i="6"/>
  <c r="G50" i="6"/>
  <c r="P18" i="6"/>
  <c r="F63" i="6"/>
  <c r="M58" i="6"/>
  <c r="E132" i="6"/>
  <c r="E29" i="6"/>
  <c r="E125" i="6"/>
  <c r="P13" i="6"/>
  <c r="B98" i="7"/>
  <c r="B178" i="7" s="1"/>
  <c r="G29" i="6"/>
  <c r="G125" i="6"/>
  <c r="V60" i="6"/>
  <c r="V62" i="6" s="1"/>
  <c r="W61" i="6"/>
  <c r="W62" i="6" s="1"/>
  <c r="T53" i="6"/>
  <c r="D55" i="6"/>
  <c r="G20" i="6"/>
  <c r="E55" i="6"/>
  <c r="L54" i="6"/>
  <c r="Q39" i="6"/>
  <c r="X41" i="6"/>
  <c r="T42" i="6"/>
  <c r="U50" i="6"/>
  <c r="U54" i="6" s="1"/>
  <c r="F133" i="6"/>
  <c r="F126" i="6"/>
  <c r="V50" i="6"/>
  <c r="V54" i="6" s="1"/>
  <c r="U55" i="6"/>
  <c r="U58" i="6" s="1"/>
  <c r="X51" i="6"/>
  <c r="H29" i="6"/>
  <c r="H127" i="6"/>
  <c r="W51" i="6"/>
  <c r="S19" i="6"/>
  <c r="U19" i="6"/>
  <c r="V18" i="6"/>
  <c r="U18" i="6"/>
  <c r="W18" i="6"/>
  <c r="T19" i="6"/>
  <c r="S18" i="6"/>
  <c r="X17" i="6"/>
  <c r="V19" i="6"/>
  <c r="X18" i="6"/>
  <c r="X19" i="6"/>
  <c r="W19" i="6"/>
  <c r="AA49" i="2"/>
  <c r="AA63" i="2" s="1"/>
  <c r="X60" i="6"/>
  <c r="X62" i="6" s="1"/>
  <c r="I125" i="6"/>
  <c r="Q24" i="6"/>
  <c r="G134" i="6"/>
  <c r="X42" i="6"/>
  <c r="Q41" i="6"/>
  <c r="G132" i="6"/>
  <c r="I14" i="6"/>
  <c r="P11" i="6"/>
  <c r="P19" i="6"/>
  <c r="I120" i="6"/>
  <c r="D20" i="6"/>
  <c r="K50" i="6"/>
  <c r="T14" i="6"/>
  <c r="Q26" i="6"/>
  <c r="W56" i="6"/>
  <c r="W58" i="6" s="1"/>
  <c r="V58" i="6"/>
  <c r="W38" i="6"/>
  <c r="X38" i="6"/>
  <c r="Q32" i="6"/>
  <c r="C39" i="6"/>
  <c r="O34" i="2"/>
  <c r="F52" i="6"/>
  <c r="Y40" i="2"/>
  <c r="Y49" i="2" s="1"/>
  <c r="Y63" i="2" s="1"/>
  <c r="C50" i="6"/>
  <c r="O28" i="4"/>
  <c r="C15" i="6" s="1"/>
  <c r="K15" i="4"/>
  <c r="K45" i="4" s="1"/>
  <c r="K63" i="4" s="1"/>
  <c r="E12" i="6"/>
  <c r="E120" i="6" s="1"/>
  <c r="O58" i="6"/>
  <c r="O57" i="6"/>
  <c r="O62" i="6"/>
  <c r="O60" i="6"/>
  <c r="O61" i="6"/>
  <c r="E50" i="6"/>
  <c r="E121" i="6"/>
  <c r="L13" i="6"/>
  <c r="AE40" i="2"/>
  <c r="AE49" i="2" s="1"/>
  <c r="AE63" i="2" s="1"/>
  <c r="C51" i="6"/>
  <c r="S53" i="6"/>
  <c r="C63" i="6"/>
  <c r="J57" i="6"/>
  <c r="F50" i="6"/>
  <c r="K14" i="6"/>
  <c r="O63" i="6"/>
  <c r="H44" i="6"/>
  <c r="H134" i="6"/>
  <c r="W41" i="6"/>
  <c r="W40" i="6"/>
  <c r="F134" i="6"/>
  <c r="F44" i="6"/>
  <c r="E128" i="6"/>
  <c r="H14" i="6"/>
  <c r="O11" i="6"/>
  <c r="U41" i="6"/>
  <c r="L60" i="6"/>
  <c r="C37" i="6"/>
  <c r="X47" i="6"/>
  <c r="U13" i="2"/>
  <c r="G127" i="6"/>
  <c r="E38" i="6"/>
  <c r="I34" i="2"/>
  <c r="I64" i="2" s="1"/>
  <c r="W31" i="6"/>
  <c r="U31" i="6"/>
  <c r="M11" i="6"/>
  <c r="W8" i="6"/>
  <c r="L58" i="6"/>
  <c r="E37" i="6"/>
  <c r="I51" i="6"/>
  <c r="I54" i="6" s="1"/>
  <c r="I25" i="6"/>
  <c r="I29" i="6" s="1"/>
  <c r="B56" i="7" s="1"/>
  <c r="B141" i="7" s="1"/>
  <c r="D25" i="6"/>
  <c r="C12" i="6"/>
  <c r="K13" i="6"/>
  <c r="E117" i="6"/>
  <c r="F120" i="6"/>
  <c r="X45" i="6"/>
  <c r="V45" i="6"/>
  <c r="L57" i="6"/>
  <c r="O9" i="6"/>
  <c r="O23" i="6" s="1"/>
  <c r="L59" i="6"/>
  <c r="D37" i="6"/>
  <c r="O59" i="6"/>
  <c r="H23" i="6"/>
  <c r="S36" i="6"/>
  <c r="H54" i="6"/>
  <c r="C45" i="4" l="1"/>
  <c r="C63" i="4" s="1"/>
  <c r="B36" i="7"/>
  <c r="P15" i="6"/>
  <c r="B32" i="7"/>
  <c r="B130" i="7" s="1"/>
  <c r="I134" i="6"/>
  <c r="C64" i="2"/>
  <c r="S49" i="2"/>
  <c r="S63" i="2" s="1"/>
  <c r="Q12" i="6"/>
  <c r="Q18" i="6"/>
  <c r="Q19" i="6"/>
  <c r="Q17" i="6"/>
  <c r="Q13" i="6"/>
  <c r="Q11" i="6"/>
  <c r="Q15" i="6"/>
  <c r="Y18" i="6"/>
  <c r="I63" i="6"/>
  <c r="I117" i="6" s="1"/>
  <c r="B40" i="7"/>
  <c r="B52" i="7"/>
  <c r="B138" i="7" s="1"/>
  <c r="Q54" i="6"/>
  <c r="B84" i="7"/>
  <c r="B166" i="7" s="1"/>
  <c r="I55" i="6"/>
  <c r="B72" i="7" s="1"/>
  <c r="B158" i="7" s="1"/>
  <c r="E44" i="6"/>
  <c r="E134" i="6"/>
  <c r="J15" i="6"/>
  <c r="C121" i="6"/>
  <c r="M63" i="6"/>
  <c r="M57" i="6"/>
  <c r="M59" i="6"/>
  <c r="M62" i="6"/>
  <c r="V34" i="6"/>
  <c r="V44" i="6"/>
  <c r="M60" i="6"/>
  <c r="F117" i="6"/>
  <c r="M61" i="6"/>
  <c r="K60" i="6"/>
  <c r="K63" i="6"/>
  <c r="K57" i="6"/>
  <c r="D117" i="6"/>
  <c r="K59" i="6"/>
  <c r="K61" i="6"/>
  <c r="K58" i="6"/>
  <c r="P14" i="6"/>
  <c r="I16" i="6"/>
  <c r="Q14" i="6"/>
  <c r="Y64" i="2"/>
  <c r="N58" i="6"/>
  <c r="G117" i="6"/>
  <c r="N62" i="6"/>
  <c r="N61" i="6"/>
  <c r="N57" i="6"/>
  <c r="N63" i="6"/>
  <c r="U14" i="6"/>
  <c r="L50" i="6"/>
  <c r="U47" i="6"/>
  <c r="F54" i="6"/>
  <c r="V47" i="6"/>
  <c r="T22" i="6"/>
  <c r="T23" i="6"/>
  <c r="S30" i="6"/>
  <c r="S33" i="6" s="1"/>
  <c r="K20" i="6"/>
  <c r="W12" i="6"/>
  <c r="W10" i="6"/>
  <c r="W15" i="6"/>
  <c r="C54" i="6"/>
  <c r="H45" i="6"/>
  <c r="O44" i="6" s="1"/>
  <c r="M16" i="6"/>
  <c r="F20" i="6"/>
  <c r="H16" i="6"/>
  <c r="O14" i="6"/>
  <c r="E116" i="6"/>
  <c r="L47" i="6"/>
  <c r="L52" i="6"/>
  <c r="L53" i="6"/>
  <c r="U27" i="6"/>
  <c r="L55" i="6"/>
  <c r="E64" i="6"/>
  <c r="I44" i="6"/>
  <c r="Q38" i="6"/>
  <c r="G34" i="2"/>
  <c r="G64" i="2" s="1"/>
  <c r="G41" i="6"/>
  <c r="C14" i="6"/>
  <c r="J11" i="6"/>
  <c r="J12" i="6"/>
  <c r="C120" i="6"/>
  <c r="U17" i="6"/>
  <c r="J58" i="6"/>
  <c r="J61" i="6"/>
  <c r="S34" i="6"/>
  <c r="C117" i="6"/>
  <c r="J62" i="6"/>
  <c r="J63" i="6"/>
  <c r="S44" i="6"/>
  <c r="S48" i="6" s="1"/>
  <c r="J59" i="6"/>
  <c r="J60" i="6"/>
  <c r="L49" i="6"/>
  <c r="N60" i="6"/>
  <c r="C134" i="6"/>
  <c r="C44" i="6"/>
  <c r="S61" i="6"/>
  <c r="S62" i="6" s="1"/>
  <c r="C132" i="6"/>
  <c r="C125" i="6"/>
  <c r="C29" i="6"/>
  <c r="X35" i="6"/>
  <c r="W35" i="6"/>
  <c r="Y12" i="6"/>
  <c r="Y10" i="6"/>
  <c r="Q29" i="6"/>
  <c r="B94" i="7"/>
  <c r="B172" i="7" s="1"/>
  <c r="Y15" i="6"/>
  <c r="V12" i="6"/>
  <c r="V10" i="6"/>
  <c r="V15" i="6"/>
  <c r="K62" i="6"/>
  <c r="S41" i="6"/>
  <c r="G55" i="6"/>
  <c r="N50" i="6" s="1"/>
  <c r="V32" i="6"/>
  <c r="W32" i="6"/>
  <c r="F45" i="6"/>
  <c r="M29" i="6" s="1"/>
  <c r="S55" i="6"/>
  <c r="S58" i="6" s="1"/>
  <c r="T17" i="6"/>
  <c r="S50" i="6"/>
  <c r="S54" i="6" s="1"/>
  <c r="D133" i="6"/>
  <c r="T50" i="6"/>
  <c r="T54" i="6" s="1"/>
  <c r="D126" i="6"/>
  <c r="T55" i="6"/>
  <c r="T58" i="6" s="1"/>
  <c r="D29" i="6"/>
  <c r="O45" i="4"/>
  <c r="O63" i="4" s="1"/>
  <c r="W22" i="6"/>
  <c r="N20" i="6"/>
  <c r="W23" i="6"/>
  <c r="V30" i="6"/>
  <c r="L48" i="6"/>
  <c r="D134" i="6"/>
  <c r="D44" i="6"/>
  <c r="I133" i="6"/>
  <c r="X50" i="6"/>
  <c r="Q25" i="6"/>
  <c r="B58" i="7"/>
  <c r="B142" i="7" s="1"/>
  <c r="I126" i="6"/>
  <c r="B102" i="7"/>
  <c r="B180" i="7" s="1"/>
  <c r="Y17" i="6"/>
  <c r="X55" i="6"/>
  <c r="X58" i="6" s="1"/>
  <c r="H49" i="6"/>
  <c r="U49" i="2"/>
  <c r="U63" i="2" s="1"/>
  <c r="U64" i="2" s="1"/>
  <c r="L12" i="6"/>
  <c r="E14" i="6"/>
  <c r="K55" i="6"/>
  <c r="K53" i="6"/>
  <c r="T27" i="6"/>
  <c r="K49" i="6"/>
  <c r="K47" i="6"/>
  <c r="D64" i="6"/>
  <c r="K48" i="6"/>
  <c r="K54" i="6"/>
  <c r="K51" i="6"/>
  <c r="K52" i="6"/>
  <c r="D116" i="6"/>
  <c r="U10" i="6"/>
  <c r="U12" i="6"/>
  <c r="U15" i="6"/>
  <c r="N59" i="6"/>
  <c r="Q51" i="6"/>
  <c r="S64" i="2" l="1"/>
  <c r="Q63" i="6"/>
  <c r="B86" i="7"/>
  <c r="B167" i="7" s="1"/>
  <c r="Y14" i="6"/>
  <c r="D45" i="6"/>
  <c r="T13" i="6" s="1"/>
  <c r="W14" i="6"/>
  <c r="S12" i="6"/>
  <c r="S15" i="6"/>
  <c r="S10" i="6"/>
  <c r="J14" i="6"/>
  <c r="C16" i="6"/>
  <c r="T10" i="6"/>
  <c r="K29" i="6"/>
  <c r="T15" i="6"/>
  <c r="T12" i="6"/>
  <c r="W53" i="6"/>
  <c r="W54" i="6" s="1"/>
  <c r="H50" i="6"/>
  <c r="X53" i="6"/>
  <c r="X54" i="6" s="1"/>
  <c r="Q49" i="6"/>
  <c r="N52" i="6"/>
  <c r="N54" i="6"/>
  <c r="N48" i="6"/>
  <c r="N51" i="6"/>
  <c r="W27" i="6"/>
  <c r="N53" i="6"/>
  <c r="G64" i="6"/>
  <c r="N47" i="6"/>
  <c r="N55" i="6"/>
  <c r="G116" i="6"/>
  <c r="N49" i="6"/>
  <c r="W42" i="6"/>
  <c r="V42" i="6"/>
  <c r="O30" i="6"/>
  <c r="O27" i="6"/>
  <c r="O34" i="6"/>
  <c r="O28" i="6"/>
  <c r="O42" i="6"/>
  <c r="O26" i="6"/>
  <c r="O31" i="6"/>
  <c r="O37" i="6"/>
  <c r="H135" i="6"/>
  <c r="O36" i="6"/>
  <c r="O45" i="6"/>
  <c r="O33" i="6"/>
  <c r="O35" i="6"/>
  <c r="O41" i="6"/>
  <c r="O40" i="6"/>
  <c r="O43" i="6"/>
  <c r="O25" i="6"/>
  <c r="O24" i="6"/>
  <c r="H115" i="6"/>
  <c r="O38" i="6"/>
  <c r="O32" i="6"/>
  <c r="O39" i="6"/>
  <c r="G44" i="6"/>
  <c r="R67" i="2"/>
  <c r="W64" i="2"/>
  <c r="P16" i="6"/>
  <c r="I20" i="6"/>
  <c r="Q16" i="6"/>
  <c r="S35" i="6"/>
  <c r="C55" i="6"/>
  <c r="J54" i="6" s="1"/>
  <c r="C45" i="6"/>
  <c r="J44" i="6" s="1"/>
  <c r="S43" i="6"/>
  <c r="S49" i="6" s="1"/>
  <c r="S59" i="6" s="1"/>
  <c r="Q44" i="6"/>
  <c r="I45" i="6"/>
  <c r="P55" i="6" s="1"/>
  <c r="H20" i="6"/>
  <c r="O16" i="6"/>
  <c r="E45" i="6"/>
  <c r="E16" i="6"/>
  <c r="L14" i="6"/>
  <c r="V22" i="6"/>
  <c r="U30" i="6"/>
  <c r="U33" i="6" s="1"/>
  <c r="V23" i="6"/>
  <c r="V21" i="6"/>
  <c r="M20" i="6"/>
  <c r="U44" i="6"/>
  <c r="U48" i="6" s="1"/>
  <c r="U34" i="6"/>
  <c r="V33" i="6"/>
  <c r="X13" i="6"/>
  <c r="F55" i="6"/>
  <c r="M54" i="6" s="1"/>
  <c r="V35" i="6"/>
  <c r="V43" i="6" s="1"/>
  <c r="U35" i="6"/>
  <c r="Y27" i="6"/>
  <c r="I116" i="6"/>
  <c r="I64" i="6"/>
  <c r="B76" i="7"/>
  <c r="B160" i="7" s="1"/>
  <c r="M44" i="6"/>
  <c r="O29" i="6"/>
  <c r="V48" i="6"/>
  <c r="M45" i="6"/>
  <c r="V11" i="6"/>
  <c r="M32" i="6"/>
  <c r="M30" i="6"/>
  <c r="M33" i="6"/>
  <c r="M27" i="6"/>
  <c r="M38" i="6"/>
  <c r="M43" i="6"/>
  <c r="M42" i="6"/>
  <c r="M34" i="6"/>
  <c r="M41" i="6"/>
  <c r="M40" i="6"/>
  <c r="M28" i="6"/>
  <c r="F135" i="6"/>
  <c r="F115" i="6"/>
  <c r="M25" i="6"/>
  <c r="M31" i="6"/>
  <c r="M35" i="6"/>
  <c r="M37" i="6"/>
  <c r="M26" i="6"/>
  <c r="M36" i="6"/>
  <c r="M24" i="6"/>
  <c r="M39" i="6"/>
  <c r="V13" i="6"/>
  <c r="Y26" i="6" l="1"/>
  <c r="Y25" i="6"/>
  <c r="J16" i="6"/>
  <c r="C20" i="6"/>
  <c r="L16" i="6"/>
  <c r="E20" i="6"/>
  <c r="V27" i="6"/>
  <c r="M55" i="6"/>
  <c r="M53" i="6"/>
  <c r="F116" i="6"/>
  <c r="V26" i="6"/>
  <c r="V25" i="6"/>
  <c r="M48" i="6"/>
  <c r="M47" i="6"/>
  <c r="F64" i="6"/>
  <c r="M51" i="6"/>
  <c r="M49" i="6"/>
  <c r="V14" i="6"/>
  <c r="M50" i="6"/>
  <c r="M52" i="6"/>
  <c r="L30" i="6"/>
  <c r="L26" i="6"/>
  <c r="L45" i="6"/>
  <c r="L36" i="6"/>
  <c r="L42" i="6"/>
  <c r="E115" i="6"/>
  <c r="L39" i="6"/>
  <c r="L25" i="6"/>
  <c r="L34" i="6"/>
  <c r="L33" i="6"/>
  <c r="E135" i="6"/>
  <c r="U11" i="6"/>
  <c r="L32" i="6"/>
  <c r="L43" i="6"/>
  <c r="L24" i="6"/>
  <c r="E66" i="6"/>
  <c r="L31" i="6"/>
  <c r="E65" i="6"/>
  <c r="L40" i="6"/>
  <c r="L27" i="6"/>
  <c r="L35" i="6"/>
  <c r="L28" i="6"/>
  <c r="L41" i="6"/>
  <c r="U26" i="6"/>
  <c r="L38" i="6"/>
  <c r="U13" i="6"/>
  <c r="U25" i="6"/>
  <c r="L29" i="6"/>
  <c r="L37" i="6"/>
  <c r="C64" i="6"/>
  <c r="C66" i="6" s="1"/>
  <c r="J55" i="6"/>
  <c r="C116" i="6"/>
  <c r="J53" i="6"/>
  <c r="S25" i="6"/>
  <c r="S26" i="6"/>
  <c r="S27" i="6"/>
  <c r="J52" i="6"/>
  <c r="J47" i="6"/>
  <c r="J49" i="6"/>
  <c r="J48" i="6"/>
  <c r="J50" i="6"/>
  <c r="S14" i="6"/>
  <c r="J51" i="6"/>
  <c r="L44" i="6"/>
  <c r="J29" i="6"/>
  <c r="V49" i="6"/>
  <c r="V59" i="6" s="1"/>
  <c r="X34" i="6"/>
  <c r="X43" i="6" s="1"/>
  <c r="Y22" i="6"/>
  <c r="B21" i="7"/>
  <c r="B122" i="7" s="1"/>
  <c r="X44" i="6"/>
  <c r="X48" i="6" s="1"/>
  <c r="B28" i="7"/>
  <c r="B128" i="7" s="1"/>
  <c r="B5" i="7"/>
  <c r="Y21" i="6"/>
  <c r="P20" i="6"/>
  <c r="Q20" i="6"/>
  <c r="Y23" i="6"/>
  <c r="X30" i="6"/>
  <c r="X33" i="6" s="1"/>
  <c r="X15" i="6"/>
  <c r="H55" i="6"/>
  <c r="X10" i="6"/>
  <c r="Q50" i="6"/>
  <c r="X12" i="6"/>
  <c r="S13" i="6"/>
  <c r="U43" i="6"/>
  <c r="U49" i="6" s="1"/>
  <c r="U59" i="6" s="1"/>
  <c r="O20" i="6"/>
  <c r="X21" i="6"/>
  <c r="X22" i="6"/>
  <c r="W30" i="6"/>
  <c r="W33" i="6" s="1"/>
  <c r="X23" i="6"/>
  <c r="W34" i="6"/>
  <c r="W43" i="6" s="1"/>
  <c r="W44" i="6"/>
  <c r="W48" i="6" s="1"/>
  <c r="P59" i="6"/>
  <c r="P30" i="6"/>
  <c r="P45" i="6"/>
  <c r="P57" i="6"/>
  <c r="Q45" i="6"/>
  <c r="P60" i="6"/>
  <c r="P53" i="6"/>
  <c r="P58" i="6"/>
  <c r="P32" i="6"/>
  <c r="P34" i="6"/>
  <c r="P31" i="6"/>
  <c r="P61" i="6"/>
  <c r="P33" i="6"/>
  <c r="I115" i="6"/>
  <c r="P43" i="6"/>
  <c r="P35" i="6"/>
  <c r="P36" i="6"/>
  <c r="I135" i="6"/>
  <c r="P42" i="6"/>
  <c r="P48" i="6"/>
  <c r="Y11" i="6"/>
  <c r="P47" i="6"/>
  <c r="P26" i="6"/>
  <c r="P27" i="6"/>
  <c r="P28" i="6"/>
  <c r="B82" i="7"/>
  <c r="B165" i="7" s="1"/>
  <c r="P40" i="6"/>
  <c r="B13" i="7"/>
  <c r="B118" i="7" s="1"/>
  <c r="P52" i="6"/>
  <c r="P63" i="6"/>
  <c r="P39" i="6"/>
  <c r="I65" i="6"/>
  <c r="P62" i="6"/>
  <c r="B90" i="7"/>
  <c r="B169" i="7" s="1"/>
  <c r="P41" i="6"/>
  <c r="B48" i="7"/>
  <c r="B136" i="7" s="1"/>
  <c r="P37" i="6"/>
  <c r="P24" i="6"/>
  <c r="P49" i="6"/>
  <c r="B67" i="7"/>
  <c r="B155" i="7" s="1"/>
  <c r="B74" i="7"/>
  <c r="B159" i="7" s="1"/>
  <c r="P54" i="6"/>
  <c r="P38" i="6"/>
  <c r="P29" i="6"/>
  <c r="P50" i="6"/>
  <c r="Y13" i="6"/>
  <c r="P25" i="6"/>
  <c r="B44" i="7"/>
  <c r="B134" i="7" s="1"/>
  <c r="B9" i="7"/>
  <c r="B116" i="7" s="1"/>
  <c r="B65" i="7"/>
  <c r="B154" i="7" s="1"/>
  <c r="P51" i="6"/>
  <c r="B17" i="7"/>
  <c r="B120" i="7" s="1"/>
  <c r="P44" i="6"/>
  <c r="G45" i="6"/>
  <c r="N44" i="6" s="1"/>
  <c r="K33" i="6"/>
  <c r="K26" i="6"/>
  <c r="K38" i="6"/>
  <c r="K43" i="6"/>
  <c r="K30" i="6"/>
  <c r="K34" i="6"/>
  <c r="K42" i="6"/>
  <c r="K31" i="6"/>
  <c r="K40" i="6"/>
  <c r="D65" i="6"/>
  <c r="K27" i="6"/>
  <c r="K28" i="6"/>
  <c r="K45" i="6"/>
  <c r="K32" i="6"/>
  <c r="K36" i="6"/>
  <c r="D66" i="6"/>
  <c r="D115" i="6"/>
  <c r="K39" i="6"/>
  <c r="K35" i="6"/>
  <c r="D135" i="6"/>
  <c r="T11" i="6"/>
  <c r="K24" i="6"/>
  <c r="K41" i="6"/>
  <c r="K37" i="6"/>
  <c r="T21" i="6"/>
  <c r="T25" i="6"/>
  <c r="K25" i="6"/>
  <c r="T26" i="6"/>
  <c r="K44" i="6"/>
  <c r="J38" i="6"/>
  <c r="S11" i="6"/>
  <c r="J40" i="6"/>
  <c r="C115" i="6"/>
  <c r="J26" i="6"/>
  <c r="J33" i="6"/>
  <c r="J43" i="6"/>
  <c r="J30" i="6"/>
  <c r="J28" i="6"/>
  <c r="J36" i="6"/>
  <c r="J35" i="6"/>
  <c r="J34" i="6"/>
  <c r="J32" i="6"/>
  <c r="J45" i="6"/>
  <c r="J27" i="6"/>
  <c r="J41" i="6"/>
  <c r="J31" i="6"/>
  <c r="J42" i="6"/>
  <c r="C135" i="6"/>
  <c r="J25" i="6"/>
  <c r="J37" i="6"/>
  <c r="J39" i="6"/>
  <c r="J24" i="6"/>
  <c r="C65" i="6" l="1"/>
  <c r="B132" i="7"/>
  <c r="B114" i="7"/>
  <c r="F65" i="6"/>
  <c r="F66" i="6"/>
  <c r="O47" i="6"/>
  <c r="X26" i="6"/>
  <c r="X25" i="6"/>
  <c r="X27" i="6"/>
  <c r="H64" i="6"/>
  <c r="O52" i="6"/>
  <c r="H116" i="6"/>
  <c r="O55" i="6"/>
  <c r="O53" i="6"/>
  <c r="O51" i="6"/>
  <c r="O48" i="6"/>
  <c r="O54" i="6"/>
  <c r="X11" i="6"/>
  <c r="O49" i="6"/>
  <c r="Q55" i="6"/>
  <c r="X14" i="6"/>
  <c r="W49" i="6"/>
  <c r="W59" i="6" s="1"/>
  <c r="O50" i="6"/>
  <c r="T30" i="6"/>
  <c r="T33" i="6" s="1"/>
  <c r="U21" i="6"/>
  <c r="L20" i="6"/>
  <c r="U22" i="6"/>
  <c r="U23" i="6"/>
  <c r="T34" i="6"/>
  <c r="T43" i="6" s="1"/>
  <c r="T44" i="6"/>
  <c r="T48" i="6" s="1"/>
  <c r="X49" i="6"/>
  <c r="X59" i="6" s="1"/>
  <c r="N43" i="6"/>
  <c r="N25" i="6"/>
  <c r="N42" i="6"/>
  <c r="N28" i="6"/>
  <c r="N45" i="6"/>
  <c r="G115" i="6"/>
  <c r="N26" i="6"/>
  <c r="N38" i="6"/>
  <c r="N33" i="6"/>
  <c r="W11" i="6"/>
  <c r="G66" i="6"/>
  <c r="G135" i="6"/>
  <c r="N31" i="6"/>
  <c r="G65" i="6"/>
  <c r="N36" i="6"/>
  <c r="N32" i="6"/>
  <c r="N34" i="6"/>
  <c r="N30" i="6"/>
  <c r="N27" i="6"/>
  <c r="N35" i="6"/>
  <c r="N24" i="6"/>
  <c r="N39" i="6"/>
  <c r="N37" i="6"/>
  <c r="W21" i="6"/>
  <c r="N29" i="6"/>
  <c r="W13" i="6"/>
  <c r="N40" i="6"/>
  <c r="N41" i="6"/>
  <c r="W26" i="6"/>
  <c r="W25" i="6"/>
  <c r="S22" i="6"/>
  <c r="S23" i="6"/>
  <c r="J20" i="6"/>
  <c r="S21" i="6"/>
  <c r="T49" i="6" l="1"/>
  <c r="T59" i="6" s="1"/>
  <c r="H66" i="6"/>
  <c r="H65" i="6"/>
  <c r="Q64" i="6"/>
</calcChain>
</file>

<file path=xl/sharedStrings.xml><?xml version="1.0" encoding="utf-8"?>
<sst xmlns="http://schemas.openxmlformats.org/spreadsheetml/2006/main" count="486" uniqueCount="405">
  <si>
    <t>DIC-31</t>
  </si>
  <si>
    <t>Provisiones, depreciaciones y amortizaciones</t>
  </si>
  <si>
    <t>Otros Gastos ordinarios</t>
  </si>
  <si>
    <t>Facturación glosada en venta de serv de salud</t>
  </si>
  <si>
    <t>Sentencias y Conciliaciones</t>
  </si>
  <si>
    <t>BALANCE GENERAL</t>
  </si>
  <si>
    <t>Código</t>
  </si>
  <si>
    <t>ACTIVO</t>
  </si>
  <si>
    <t>PASIVO</t>
  </si>
  <si>
    <t>Efectivo</t>
  </si>
  <si>
    <t>Inversiones</t>
  </si>
  <si>
    <t>Obligaciones financieras</t>
  </si>
  <si>
    <t>Cuentas por pagar</t>
  </si>
  <si>
    <t>Inventarios</t>
  </si>
  <si>
    <t>Obligaciones laborales</t>
  </si>
  <si>
    <t>Otros activos</t>
  </si>
  <si>
    <t>Pasivos estimados</t>
  </si>
  <si>
    <t>Propiedades, planta y equipo</t>
  </si>
  <si>
    <t>Caja</t>
  </si>
  <si>
    <t>Bancos y corporaciones</t>
  </si>
  <si>
    <t>Avances y anticipos entregados</t>
  </si>
  <si>
    <t>Acreedores</t>
  </si>
  <si>
    <t>Otros deudores</t>
  </si>
  <si>
    <t>Retención en la fuente e impuesto de tiembre</t>
  </si>
  <si>
    <t>Impuestos, contribuciones y tasas por pagar</t>
  </si>
  <si>
    <t>Avances y anticipos recibidos</t>
  </si>
  <si>
    <t>Depósitos recibidos de terceros</t>
  </si>
  <si>
    <t>Materiales para la prestacion de servicios</t>
  </si>
  <si>
    <t>Provisión para protección de inventarios</t>
  </si>
  <si>
    <t>Salarios y prestaciones sociales</t>
  </si>
  <si>
    <t>Gastos pagados por anticipado</t>
  </si>
  <si>
    <t>Pensiones por pagar</t>
  </si>
  <si>
    <t>Cargos diferidos</t>
  </si>
  <si>
    <t>Provisión para contingencias</t>
  </si>
  <si>
    <t>Provisión para prestaciones sociales</t>
  </si>
  <si>
    <t>Intangibles</t>
  </si>
  <si>
    <t>Amortización acumulada de intangibles</t>
  </si>
  <si>
    <t>Valorizaciones</t>
  </si>
  <si>
    <t>Terrenos</t>
  </si>
  <si>
    <t>Edificaciones</t>
  </si>
  <si>
    <t>Maquinaria y equipo</t>
  </si>
  <si>
    <t>Equipo médico y científico</t>
  </si>
  <si>
    <t>Muebles, enseres y equipos de oficina</t>
  </si>
  <si>
    <t>Equipos de comunicación y computación</t>
  </si>
  <si>
    <t>Equipo de transporte, tracción y elevac.</t>
  </si>
  <si>
    <t>Equipo de comedor, cocina, desp. y hotele.</t>
  </si>
  <si>
    <t>Depreciación acumulada</t>
  </si>
  <si>
    <t>Capital fiscal</t>
  </si>
  <si>
    <t>Resultados del ejercicio</t>
  </si>
  <si>
    <t>Superávit por valorización</t>
  </si>
  <si>
    <t>Ajustes por inflación</t>
  </si>
  <si>
    <t xml:space="preserve">Patrimonio institucional </t>
  </si>
  <si>
    <t>Utilidad o pérdida de ejerc.anteriores</t>
  </si>
  <si>
    <t>Revalorización del patrimonio</t>
  </si>
  <si>
    <t>Patrimonio institucional incorporado</t>
  </si>
  <si>
    <t xml:space="preserve">$ </t>
  </si>
  <si>
    <t>Transferencias</t>
  </si>
  <si>
    <t>De administración</t>
  </si>
  <si>
    <t>Concepto</t>
  </si>
  <si>
    <t>Venta de Servicios</t>
  </si>
  <si>
    <t>Servicios de salud</t>
  </si>
  <si>
    <t>Devoluciones, rebajas y descuentos en venta de servicios (db)</t>
  </si>
  <si>
    <t>Generales</t>
  </si>
  <si>
    <t>Financieros</t>
  </si>
  <si>
    <t>Extraordinarios</t>
  </si>
  <si>
    <t>Ajuste de ejercicios anteriores</t>
  </si>
  <si>
    <t>Ajustes de ejercicios anteriores</t>
  </si>
  <si>
    <t>Adquisición de bienes y servicios nacionales</t>
  </si>
  <si>
    <t>Sueldos y Salarios</t>
  </si>
  <si>
    <t>Contribuciones Imputadas</t>
  </si>
  <si>
    <t>Contribuciones Efectivas</t>
  </si>
  <si>
    <t>Aportes sobre la Nómina</t>
  </si>
  <si>
    <t>Impuestos Contribuciones y Tasas</t>
  </si>
  <si>
    <t>Provisiones Protección de inventarios</t>
  </si>
  <si>
    <t>Intereses</t>
  </si>
  <si>
    <t>Costo de ventas de  servicios</t>
  </si>
  <si>
    <t>Amortizaciones de intangibles</t>
  </si>
  <si>
    <t>Administración de liquidez</t>
  </si>
  <si>
    <t>Créditos Obtenidos</t>
  </si>
  <si>
    <t>Depreciación de propiedad, planta y equipo</t>
  </si>
  <si>
    <t>Retencion de Impto de Industria y Comercio</t>
  </si>
  <si>
    <t>CUENTAS DE ORDEN DEUDORAS</t>
  </si>
  <si>
    <t>Deudoras de Control por contra (CR)</t>
  </si>
  <si>
    <t>Inversiones Patrimoniales</t>
  </si>
  <si>
    <t>Bienes y Derechos en Investigac. Adtiva</t>
  </si>
  <si>
    <t>Provisión para bienes y derechos en Invest. Adtiva</t>
  </si>
  <si>
    <t>Responsabilidades Conting. Por contra (DB)</t>
  </si>
  <si>
    <t>Otros Pasivos</t>
  </si>
  <si>
    <t>Obligaciones en Investigac. Adtiva</t>
  </si>
  <si>
    <t>Provisión para bienes y derechos en investagación administrativa</t>
  </si>
  <si>
    <t>Litigios y Demandas</t>
  </si>
  <si>
    <t>Derechos Contingentes por contra (CR)</t>
  </si>
  <si>
    <t>Litigios o Demandas</t>
  </si>
  <si>
    <t>Bienes Muebles en Bodega</t>
  </si>
  <si>
    <t>Otras cuentas por pagar</t>
  </si>
  <si>
    <t>Efectos de Saneamiento contable</t>
  </si>
  <si>
    <t>Depositos Entregados</t>
  </si>
  <si>
    <t>Recursos entregados en Administracion</t>
  </si>
  <si>
    <t>Otros Ingresos Ordinarios</t>
  </si>
  <si>
    <t>Otras Transferencias</t>
  </si>
  <si>
    <t>Provision para Deudores</t>
  </si>
  <si>
    <t>Cuentas Por Pagar</t>
  </si>
  <si>
    <t>Avances y Anticipos Recibidos</t>
  </si>
  <si>
    <t>Otras Cuentas por pagar</t>
  </si>
  <si>
    <t>Capital del Gobierno</t>
  </si>
  <si>
    <t>GASTO PUBLICO SOCIAL</t>
  </si>
  <si>
    <t>Salud</t>
  </si>
  <si>
    <t>ANALISIS FINANCIERO</t>
  </si>
  <si>
    <t>INDICES FINANCIEROS</t>
  </si>
  <si>
    <t>VERTICAL</t>
  </si>
  <si>
    <t>HORIZONTAL</t>
  </si>
  <si>
    <t>ESTADO DE RESULTADOS</t>
  </si>
  <si>
    <t xml:space="preserve">    LIQUIDEZ</t>
  </si>
  <si>
    <t>VENTA DE SERVICIOS</t>
  </si>
  <si>
    <t>RAZON CORRIENTE</t>
  </si>
  <si>
    <t>TRANSFERENCIAS</t>
  </si>
  <si>
    <t>SOLIDEZ</t>
  </si>
  <si>
    <t>COSTO DE VENTAS</t>
  </si>
  <si>
    <t>LIQUIDEZ INMEDIATA</t>
  </si>
  <si>
    <t xml:space="preserve">ACTIVO CORRIENTE/ACTIVO TOTAL(%)     </t>
  </si>
  <si>
    <t>GASTOS OPERACIONALES</t>
  </si>
  <si>
    <t>PASIVO CORRIENTE/PASIVO TOTAL(%)</t>
  </si>
  <si>
    <t>CAPITAL DE TRABAJO ($)</t>
  </si>
  <si>
    <t>OTROS GASTOS</t>
  </si>
  <si>
    <t xml:space="preserve">    EFICIENCIA OPERACIONAL</t>
  </si>
  <si>
    <t>OTROS INGRESOS</t>
  </si>
  <si>
    <t>DIAS DE CARTERA</t>
  </si>
  <si>
    <t>DIAS DE INVENTARIOS</t>
  </si>
  <si>
    <t>DIAS DE PROVEEDORES</t>
  </si>
  <si>
    <t xml:space="preserve">    RENTABILIDAD</t>
  </si>
  <si>
    <t xml:space="preserve">   ACTIVOS</t>
  </si>
  <si>
    <t>SOBRE ACTIVOS TOTALES(%)</t>
  </si>
  <si>
    <t xml:space="preserve">EFECTIVO </t>
  </si>
  <si>
    <t>SOBRE PATRIMONIO(%)</t>
  </si>
  <si>
    <t>DEUDORES</t>
  </si>
  <si>
    <t>SOBRE CAPITAL(%)</t>
  </si>
  <si>
    <t>INVENTARIOS MAT PRESTAC SERV</t>
  </si>
  <si>
    <t xml:space="preserve">    ESTRUCTURA</t>
  </si>
  <si>
    <t>OTROS INVENTARIOS</t>
  </si>
  <si>
    <t>OTROS ACTIVOS CORRIENTES</t>
  </si>
  <si>
    <t xml:space="preserve">   TOTAL ACTIVO CORRIENTE</t>
  </si>
  <si>
    <t>APALANCAMIENTO TOTAL (%)</t>
  </si>
  <si>
    <t>TERRENOS</t>
  </si>
  <si>
    <t>EDIFICACIONES</t>
  </si>
  <si>
    <t>MAQUINARIA Y EQUIPO CIENTIFICO</t>
  </si>
  <si>
    <t>VEHICULOS</t>
  </si>
  <si>
    <t>MUEBLES Y ENSERES Y EQ COMPUTO</t>
  </si>
  <si>
    <t>OTROS ACTIVOS FIJOS  BRUTOS</t>
  </si>
  <si>
    <t>DEPRECIACION ACUMULADA</t>
  </si>
  <si>
    <t xml:space="preserve">   ACTIVO FIJO NETO</t>
  </si>
  <si>
    <t>INVERSIONES PATRIMONIALES</t>
  </si>
  <si>
    <t>ACTIVOS DIFERIDO</t>
  </si>
  <si>
    <t>OTROS ACTIVOS</t>
  </si>
  <si>
    <t>CORRECCION MONETARIA DIFERIDA</t>
  </si>
  <si>
    <t>VALORIZACIONES</t>
  </si>
  <si>
    <t xml:space="preserve">   TOTAL ACTIVO NO CORRIENTE</t>
  </si>
  <si>
    <t xml:space="preserve">   TOTAL ACTIVO</t>
  </si>
  <si>
    <t>PASIVOS</t>
  </si>
  <si>
    <t>PROVEEDORES</t>
  </si>
  <si>
    <t>SALARIOS Y PRESTACIONES SOCIALES</t>
  </si>
  <si>
    <t>OTROS PASIVOS CORRIENTES</t>
  </si>
  <si>
    <t xml:space="preserve">   TOTAL PASIVO CORRIENTE</t>
  </si>
  <si>
    <t>OTROS PASIVOS NO CORRIENTES</t>
  </si>
  <si>
    <t xml:space="preserve">   TOTAL PASIVO LARGO PLAZO</t>
  </si>
  <si>
    <t>TOTAL PASIVO</t>
  </si>
  <si>
    <t>PATRIMONIO</t>
  </si>
  <si>
    <t>CAPITAL FISCAL</t>
  </si>
  <si>
    <t>RESULTADOS DEL EJERCICIO</t>
  </si>
  <si>
    <t>SUPERAVIT POR DONAC Y VALORIZAC</t>
  </si>
  <si>
    <t>EFECTOS SANEAMIENTO CONTABLE</t>
  </si>
  <si>
    <t xml:space="preserve">   TOTAL  PATRIMONIO</t>
  </si>
  <si>
    <t xml:space="preserve">   TOTAL PASIVO + PATRIMONIO</t>
  </si>
  <si>
    <t># meses primer año</t>
  </si>
  <si>
    <t># meses segundo año</t>
  </si>
  <si>
    <t>1er. período</t>
  </si>
  <si>
    <t>2 o. período</t>
  </si>
  <si>
    <t>RESULTADOS EJERCICIOS ANTERIORES</t>
  </si>
  <si>
    <t>Otras cuentas deudoras de control</t>
  </si>
  <si>
    <t>CORRIENTE</t>
  </si>
  <si>
    <t>NO CORRIENTE</t>
  </si>
  <si>
    <t>TOTAL PASIVO Y PATRIMONIO</t>
  </si>
  <si>
    <t>TOTAL ACTIVO</t>
  </si>
  <si>
    <t>Transferencias por Cobrar</t>
  </si>
  <si>
    <t>CUENTAS DE ORDEN ACREEDORAS</t>
  </si>
  <si>
    <t>INGRESOS OPERACIONALES</t>
  </si>
  <si>
    <t>GASTOS  OPERACIONALES</t>
  </si>
  <si>
    <t xml:space="preserve">EXCEDENTE (DÉFICIT) OPERACIONAL </t>
  </si>
  <si>
    <t xml:space="preserve">EXCEDENTE (DÉFICIT) DEL EJERCICIO </t>
  </si>
  <si>
    <t>Pensiones y prestaciones econòmicas por pagar</t>
  </si>
  <si>
    <t>Propiedad, Planta y equipo en Mantto</t>
  </si>
  <si>
    <t>Activos retirados</t>
  </si>
  <si>
    <t>PATRIMONIO INSTITUCIONAL INCORPORADO</t>
  </si>
  <si>
    <t xml:space="preserve">   UTILIDAD NETA</t>
  </si>
  <si>
    <t xml:space="preserve">   DEPRECIACION</t>
  </si>
  <si>
    <t xml:space="preserve">   AMORTIZACION DIFERIDA</t>
  </si>
  <si>
    <t xml:space="preserve">  GENERACION INTERNA</t>
  </si>
  <si>
    <t>CAMBIOS EN PATRIMONIO</t>
  </si>
  <si>
    <t xml:space="preserve">   OTROS ACTIVOS</t>
  </si>
  <si>
    <t xml:space="preserve">   CAPITALIZACION</t>
  </si>
  <si>
    <t xml:space="preserve">   VENTA DE ACTIVOS</t>
  </si>
  <si>
    <t xml:space="preserve">   CARTERA</t>
  </si>
  <si>
    <t xml:space="preserve">   PROVEEDORES</t>
  </si>
  <si>
    <t xml:space="preserve">  EFECTIVO GENERADO</t>
  </si>
  <si>
    <t xml:space="preserve">  EFECTIVO FINAL</t>
  </si>
  <si>
    <t xml:space="preserve">  EFECTIVO INICIAL</t>
  </si>
  <si>
    <t xml:space="preserve">  CUADRE FLUJO DE FONDOS</t>
  </si>
  <si>
    <t xml:space="preserve">  ANALISIS FLUJO FONDOS (FUENTES Y USOS DE FONDOS)</t>
  </si>
  <si>
    <t>ENDEUDAMIENTO CON VALORIZACION(%)</t>
  </si>
  <si>
    <t>ENDEUDAMIENTO SIN VALORIZACION(%)</t>
  </si>
  <si>
    <t xml:space="preserve">   AMORTIZACIÓN OBLIGACIONES LARGO PLAZO</t>
  </si>
  <si>
    <t xml:space="preserve">   INVERSIÓN TERRENOS</t>
  </si>
  <si>
    <t xml:space="preserve">   INVERSIÓN CONSTRUCCION</t>
  </si>
  <si>
    <t xml:space="preserve">   INVERSIÓN MAQUINARIA Y EQUIPO</t>
  </si>
  <si>
    <t xml:space="preserve">   INVERSIÓN MUEBLES Y ENSERES</t>
  </si>
  <si>
    <t xml:space="preserve">   INVERSIONES PERMANENTES</t>
  </si>
  <si>
    <t xml:space="preserve">  TOTAL USOS NO CORRIENTES:</t>
  </si>
  <si>
    <t xml:space="preserve">   OBLIGACIONES BANCARIAS LARGO PLAZO</t>
  </si>
  <si>
    <t xml:space="preserve">   OTROS PASIVOS LARGO PLAZO</t>
  </si>
  <si>
    <t xml:space="preserve">  TOTAL FUENTES  LARGO PLAZO</t>
  </si>
  <si>
    <t xml:space="preserve">  EFECTIVO DISPONIBLE CAPITAL DE TRABAJO</t>
  </si>
  <si>
    <t xml:space="preserve">   INVENTARIOS  MATERIA PRIMA</t>
  </si>
  <si>
    <t xml:space="preserve">  TOTAL USOS CORRIENTES</t>
  </si>
  <si>
    <t xml:space="preserve">   OTROS PASIVOS CORRIENTES</t>
  </si>
  <si>
    <t xml:space="preserve">  TOTAL FUENTES CORRIENTES</t>
  </si>
  <si>
    <t>UTILIDAD BRUTA</t>
  </si>
  <si>
    <t>UTILIDAD OPERACIONAL</t>
  </si>
  <si>
    <t>ANALISIS DE LOS PARAMETROS GLOBALES RELACIONADOS CON LA ECONOMIA DE LA ORGANIZACIÓN</t>
  </si>
  <si>
    <t>RENDIMIENTO DEL PATRIMONIO</t>
  </si>
  <si>
    <t>R.P. = UTILIDAD NETA / PATRIMONIO NETO X 100</t>
  </si>
  <si>
    <t>RENDIMIENTO BRUTO DEL ACTIVO TOTAL</t>
  </si>
  <si>
    <t>R.B.A.T.=  UTILIDAD BRUTA DE OPERACIONES / ACTIVO TOTAL X 100</t>
  </si>
  <si>
    <t>DEPENDENCIA FINANCIERA</t>
  </si>
  <si>
    <t>D.F.=  ACTIVO TOTAL / PATRIMONIO NETO</t>
  </si>
  <si>
    <t>NIVEL DE ENDEUDAMIENTO</t>
  </si>
  <si>
    <t>INCIDENCIA DE LA ACTIVIDAD EXTRAOPERACIONAL</t>
  </si>
  <si>
    <t>I.A.E. = UTILIDAD NETA / UTILIDAD BRUTA X 100</t>
  </si>
  <si>
    <t>ANALISIS DE LA GESTION ECONOMICA RESULTANTE EN LA EMPRESA</t>
  </si>
  <si>
    <t>RENTABILIDAD DE LAS VENTAS</t>
  </si>
  <si>
    <t>R.V. = UTILIDAD NETA / VENTAS NETAS X 100</t>
  </si>
  <si>
    <t>EFICIENCIA GLOBAL DE COSTOS Y GASTOS</t>
  </si>
  <si>
    <t>E.G.C.G. = COSTOS POR INTERESES + GASTOS DE ADMINISTRACION /VENTAS NETAS X 100</t>
  </si>
  <si>
    <t>EFICIENCIA DE ALGUNOS COSTOS</t>
  </si>
  <si>
    <t>GASTOS DE PERSONAL / VENTAS NETAS X 100</t>
  </si>
  <si>
    <t>GASTOS GENERALES / VENTAS NETAS</t>
  </si>
  <si>
    <t>COMPOSICION DEL CAPITAL DE TRABAJO</t>
  </si>
  <si>
    <t>C.C.T. = ACTIVO CORRIENTE / ACTIVO TOTAL X 100</t>
  </si>
  <si>
    <t>ROTACION DEL ACTIVO TOTAL</t>
  </si>
  <si>
    <t>R.A.T. = VENTAS NETAS / TOTAL ACTIVO</t>
  </si>
  <si>
    <t>ROTACION DEL ACTIVO CORRIENTE</t>
  </si>
  <si>
    <t>R.A.C. = VENTAS NETAS / ACTIVO CORRIENTE</t>
  </si>
  <si>
    <t>COMPOSICION DEL ACTIVO CORRIENTE</t>
  </si>
  <si>
    <t>COMPOSICION DEL ACTIVO</t>
  </si>
  <si>
    <t>ACTIVO CORRIENTE / ACTIVO TOTAL X 100</t>
  </si>
  <si>
    <t>ACTIVOS FIJOS / ACTIVO TOTAL X 100</t>
  </si>
  <si>
    <t>COMPOSICION DEL PASIVO</t>
  </si>
  <si>
    <t>PASIVO CORRIENTE / PASIVO TOTAL X 100</t>
  </si>
  <si>
    <t>PASIVO A MEDIANO Y LARGO PLAZO / PASIVO TOTAL X 100</t>
  </si>
  <si>
    <t>PATRIMONIO / PASIVO TOTAL X 100</t>
  </si>
  <si>
    <t>EQUILIBRIO FINANCIERO</t>
  </si>
  <si>
    <t>COBERTURA DE ACTIVOS FIJOS</t>
  </si>
  <si>
    <t>PASIVO A MEDIANO Y LARGO PLAZO/ACTIVOS FIJOS</t>
  </si>
  <si>
    <t>PATRIMONIO NETO + PASIVO A MEDIANO Y LARGO PLAZO/ ACTIVOS FIJOS</t>
  </si>
  <si>
    <t>ROTACION DEL CAPITAL INVERTIDO</t>
  </si>
  <si>
    <t>VENTAS NETAS / ACTIVO TOTAL</t>
  </si>
  <si>
    <t>ACTIVO CORRIENTE / PASIVO CORRIENTE</t>
  </si>
  <si>
    <t>PERIODO PROMEDIO DE PAGO</t>
  </si>
  <si>
    <t>DEUDAS A PROVEEDORES/ COMPRAS A CREDITO x # DE DIAS DEL PERIODO</t>
  </si>
  <si>
    <t>PERIODO MEDIO DE COBRO</t>
  </si>
  <si>
    <t>CUENTAS POR COBRAR / VENTAS X # DE DIAS DEL PERIODO</t>
  </si>
  <si>
    <t>ANALISIS GLOBAL ECONOMICO</t>
  </si>
  <si>
    <t>RENDIMIENTO DE LA INVERSION</t>
  </si>
  <si>
    <t>NIVEL DE DEPENDENCIA FINANCIERA</t>
  </si>
  <si>
    <t>LA EMPRESA ES RENTABLE ?</t>
  </si>
  <si>
    <t>NO</t>
  </si>
  <si>
    <t>SI</t>
  </si>
  <si>
    <t>STOP</t>
  </si>
  <si>
    <t>LA RENTABILIDAD ESTA BAJO LOS VALORES DEL SECTOR</t>
  </si>
  <si>
    <t xml:space="preserve">NO </t>
  </si>
  <si>
    <t>ANALISIS DE LA GESTION ECONOMICA</t>
  </si>
  <si>
    <t>RENTABILIDAD DE LA VENTA</t>
  </si>
  <si>
    <t>SON ALTOS LOS COSTOS ?</t>
  </si>
  <si>
    <t>RENTABILIDAD DEL CAPITAL</t>
  </si>
  <si>
    <t>ES UN PROBLEMA DE COSTOS DE FUNCIONAMIENTO</t>
  </si>
  <si>
    <t>ANALISIS DE LA ESTRUCTURA FISICA</t>
  </si>
  <si>
    <t xml:space="preserve">   Efectivo</t>
  </si>
  <si>
    <t xml:space="preserve">   Cartera</t>
  </si>
  <si>
    <t>ES UN PROBLEMA DE LA COMPOSICION DEL CAPITAL INVERTIDO ?</t>
  </si>
  <si>
    <t>ANALISIS DE LA GESTION FINANCIERA</t>
  </si>
  <si>
    <t>ES UN PROBLEMA DE INMOVILIZACION</t>
  </si>
  <si>
    <t>ESTRUCTURA FINANCIERA</t>
  </si>
  <si>
    <t>ES UN PROBLEMA DE GESTION</t>
  </si>
  <si>
    <t xml:space="preserve">ANALISIS DE LA ESTRUCTURA ORGANIZATIVA </t>
  </si>
  <si>
    <t xml:space="preserve">   Activo Corriente</t>
  </si>
  <si>
    <t xml:space="preserve">   Pasivo Corriente</t>
  </si>
  <si>
    <t>ES UN PROBLEMA DE POLITICA COMERCIAL</t>
  </si>
  <si>
    <t xml:space="preserve">   Pasivo mediano y largo plazo</t>
  </si>
  <si>
    <t xml:space="preserve">   Patrimonio</t>
  </si>
  <si>
    <t xml:space="preserve"> COBERTURA DE INMOVILIZACIONES</t>
  </si>
  <si>
    <t xml:space="preserve">   Patrimonio neto</t>
  </si>
  <si>
    <t>HAY EQUILIBRIO ?</t>
  </si>
  <si>
    <t>INTERVENCION SOBRE POLITICAS DE FUENTES Y USOS DE FONDOS</t>
  </si>
  <si>
    <t xml:space="preserve">   Patrimonio neto + pasivo a mediano y largo plazo</t>
  </si>
  <si>
    <t>Rotacion del capital invertido</t>
  </si>
  <si>
    <t>LIQUIDEZ</t>
  </si>
  <si>
    <t>Liquidez Total</t>
  </si>
  <si>
    <t>ANALISIS DE LA POLITICA FINANCIERA</t>
  </si>
  <si>
    <t>ES CORRECTA ?</t>
  </si>
  <si>
    <t xml:space="preserve">INTERVENCION EN LA POLITICA DE ADQUISICION DE RECURSOS </t>
  </si>
  <si>
    <t>N.E. =  TOTAL PASIVO A TERCEROS / ACTIVO TOTAL X 100</t>
  </si>
  <si>
    <t>CARTERA / ACTIVO CORRIENTE X 100</t>
  </si>
  <si>
    <t>ANALISIS DE LA GESTION FINANCIERA PROPIAMENTE DICHA</t>
  </si>
  <si>
    <t xml:space="preserve">PATRIMONIO NETO / ACTIVOS FIJOS </t>
  </si>
  <si>
    <t>EFECTIVO/ ACTIVO CORRIENTE X 100</t>
  </si>
  <si>
    <t>PERIODO PROMEDIO DE COBRO</t>
  </si>
  <si>
    <t>GASTOS EN INSUMOS / VENTAS NETAS x 100</t>
  </si>
  <si>
    <t>Acreedoras de control</t>
  </si>
  <si>
    <t>Bienes de arte y cultura</t>
  </si>
  <si>
    <t>DIC 31</t>
  </si>
  <si>
    <t>Otras provisiones</t>
  </si>
  <si>
    <t>CARTERA</t>
  </si>
  <si>
    <t>INVENTARIOS MATERIA PRIMA</t>
  </si>
  <si>
    <t>BALANCE GENERAL DETALLADO</t>
  </si>
  <si>
    <t>ESTADO DE ACTIVIDAD FINANCIERA, ECONÓMICA Y SOCIAL DETALLADO</t>
  </si>
  <si>
    <t>(Cifras en pesos)</t>
  </si>
  <si>
    <t>CIFRAS EN: $</t>
  </si>
  <si>
    <t xml:space="preserve">   INVERSIÓN EQUIPO DE TRANSPORTE</t>
  </si>
  <si>
    <t>OBLIGACIONES BANCARIAS LARGO PLAZO</t>
  </si>
  <si>
    <t>Obligaciones Bancarias de largo plazo</t>
  </si>
  <si>
    <t>ANALISIS DE LA ESTRUCTURA ORGANIZACIONAL</t>
  </si>
  <si>
    <t>Otros inventarios</t>
  </si>
  <si>
    <t>EVALUACIÓN DE LA FUNCION ECONOMICO FINANCIERA</t>
  </si>
  <si>
    <t>ANALISIS FINANCIERO E.S.E.</t>
  </si>
  <si>
    <t>MARZO</t>
  </si>
  <si>
    <t xml:space="preserve">JUNIO </t>
  </si>
  <si>
    <t>SEPTIEMBRE</t>
  </si>
  <si>
    <t>DICIEMBRE</t>
  </si>
  <si>
    <t>RENTABILIDAD SECTOR SALUD PROMEDIO</t>
  </si>
  <si>
    <t>Rentabilidad sobre ventas</t>
  </si>
  <si>
    <t>Rentabilidad sobre patrimonio</t>
  </si>
  <si>
    <t>Rentabilidad sobre activos</t>
  </si>
  <si>
    <t>COMPOSICIÓN DEL COSTO</t>
  </si>
  <si>
    <t>Costos de personal asistencial</t>
  </si>
  <si>
    <t>Costos insumos prestación de servicios</t>
  </si>
  <si>
    <t>Gastos generales operacionales</t>
  </si>
  <si>
    <t>Gastos administrativos</t>
  </si>
  <si>
    <t>ANALISIS DE TARIFAS</t>
  </si>
  <si>
    <t>CAPITA</t>
  </si>
  <si>
    <t>Comente la realidad de su ESE</t>
  </si>
  <si>
    <t>EVENTO</t>
  </si>
  <si>
    <t>ANALISIS DE LA INFRAESTRUCTURA FISICA</t>
  </si>
  <si>
    <t>ANALISIS DE PAGOS  LABORALES EXTRALEGALES</t>
  </si>
  <si>
    <t>Analice la incidencia de los costos laborales extralegales y su incidencia en los costos totales de personal</t>
  </si>
  <si>
    <t>Analice la estructura actual de organización de la ESE, tome decisiones si considera importante cambiar esta estructura y la incidencia en los gastos totales</t>
  </si>
  <si>
    <t>COMPOSICIÓN DEL ACTIVO</t>
  </si>
  <si>
    <t>Analice toda esta información, es posible que la ESE tenga invertidos todos sus recursos en cartera, lo que le impide renovarse tecnológicamente e invertir adecuadamente recursos en fortalecer la prestación del servicio</t>
  </si>
  <si>
    <t>Corriente  sin incluir cartera</t>
  </si>
  <si>
    <t>Cartera</t>
  </si>
  <si>
    <t>Activos fijos</t>
  </si>
  <si>
    <t xml:space="preserve">Verifique las propiedades planta y equipo que actualmente no utiliza en la prestación del servicio. Puede tomar decisiones de vender, arrendar las instalaciones y los equipos que no utiliza en la prestación del servicio. </t>
  </si>
  <si>
    <t>Revise en su quehacer diario los controles que ha establecido respecto al análisis de indicadores en cada una de las áreas, seguimiento al plan de gestión y cumplimiento de metas previstas en el plan de desarrollo de la ESE</t>
  </si>
  <si>
    <t>ANALISIS DE MANEJO DE CARTERA</t>
  </si>
  <si>
    <t>Revise la composición de la cartera por clase de pagador y por edades, tome decisiones para mejorar el recaudo</t>
  </si>
  <si>
    <t>ANALISIS DE OBLIGACIONES DE CORTO PLAZO</t>
  </si>
  <si>
    <t>Revise la política de pagos, cómo establece proridades para cubrir oportunamente pagos a funcionarios y proveedores</t>
  </si>
  <si>
    <t>Verifique las condiciones de contratación de personal y proveedores, con esto últimos pacte descuentos por pronto pago o pida plazos prudentes acordes con su flujo de efectivo.</t>
  </si>
  <si>
    <t xml:space="preserve">Revise la política de manejo de las fuentes de recursos tanto de corto como de largo plazo, procure que las fuentes de corto plazo sean utilizadas para financiar la operación corriente y pago de pasivos de corto plazo, no utilice fuentes de corto plazo para inversiones en activos fijos </t>
  </si>
  <si>
    <t>Verifique en sus contratos de venta de servicios los términos de pago, pacte intereses de mora cuando superen el término concedido para el pago, recurra a los cobros jurídicos de manera oportuna para evitar pérdidas por cartera</t>
  </si>
  <si>
    <t>INVENTARIOS</t>
  </si>
  <si>
    <t xml:space="preserve">TOTAL INGRESOS </t>
  </si>
  <si>
    <t>TOTAL GASTOS</t>
  </si>
  <si>
    <t>COMPOSICIÓN DEL ACTIVO CORRIENTE</t>
  </si>
  <si>
    <t xml:space="preserve">EFECTIVO Y BANCOS  </t>
  </si>
  <si>
    <t>OTROS CORRIENTES</t>
  </si>
  <si>
    <t>COMPOSICIÓN ACTIVOS</t>
  </si>
  <si>
    <t>EFECTIVO Y BANCOS</t>
  </si>
  <si>
    <t>ACTIVOS FIJOS</t>
  </si>
  <si>
    <t>2018-2017</t>
  </si>
  <si>
    <t>2019-2018</t>
  </si>
  <si>
    <t>Fuente: SIHO, cálculos sobre informes reportados Balances y Estado de Resultados, corte diciembre 2019</t>
  </si>
  <si>
    <t>Analice la composición de los gastos y costos y tome deciciones para mejorar la situación financiera de la ESE, vuelva a revisar la composición de los costos y gastos</t>
  </si>
  <si>
    <t>Verifique los resultados de cada uno de los contratos en la modalidad de cápita y evento</t>
  </si>
  <si>
    <t>Verifique el % ocupacional de cada uno de sus servicios, analice la productividad por planta física y por recurso humano</t>
  </si>
  <si>
    <t>2020-2019</t>
  </si>
  <si>
    <t>RENTABILIDAD E.S.E. PROMEDIO 2019</t>
  </si>
  <si>
    <t>FUENTE: REVISTA DINERO "5000 EMPRESAS" Junio 2020 Base 2019</t>
  </si>
  <si>
    <t>2021-2020</t>
  </si>
  <si>
    <t>Recursos entregados en administración</t>
  </si>
  <si>
    <t>Ingresos recibidos por anticipado</t>
  </si>
  <si>
    <t>superávit por donación</t>
  </si>
  <si>
    <t>CIFRAS PARA 2022</t>
  </si>
  <si>
    <t>Propiedades en inversión</t>
  </si>
  <si>
    <t>Cuentas por cobrar</t>
  </si>
  <si>
    <t>Prestación de servicios de salud</t>
  </si>
  <si>
    <t>Subvenciones por cobrar</t>
  </si>
  <si>
    <t>Otras cuentas por cobrar</t>
  </si>
  <si>
    <t>Cuentas por cobrar de difícil recaudo</t>
  </si>
  <si>
    <t xml:space="preserve">Cuentas por cobrar   </t>
  </si>
  <si>
    <t>Deterioro acumulado de cuentas por cobrar (CR)</t>
  </si>
  <si>
    <t>HOSPITAL REGIONAL DE MONIQUIRÁ E.S.E.</t>
  </si>
  <si>
    <t>2022-2021</t>
  </si>
  <si>
    <t>1 de enero a 31 de diciembre de 2017 a 2023</t>
  </si>
  <si>
    <t>31 de diciembre de 2017 a 31 de diciembre de 2023</t>
  </si>
  <si>
    <t>2023-2022</t>
  </si>
  <si>
    <t xml:space="preserve"> </t>
  </si>
  <si>
    <t>AGOSTO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</si>
</sst>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1" formatCode="_-* #,##0_-;\-* #,##0_-;_-* &quot;-&quot;_-;_-@_-"/>
    <numFmt numFmtId="43" formatCode="_-* #,##0.00_-;\-* #,##0.00_-;_-* &quot;-&quot;??_-;_-@_-"/>
    <numFmt numFmtId="164" formatCode="_(* #,##0.00_);_(* \(#,##0.00\);_(* &quot;-&quot;??_);_(@_)"/>
    <numFmt numFmtId="165" formatCode="_-* #,##0_-;\-* #,##0_-;_-* &quot;-&quot;??_-;_-@_-"/>
    <numFmt numFmtId="166" formatCode="0.00_)"/>
    <numFmt numFmtId="167" formatCode="0_)"/>
    <numFmt numFmtId="168" formatCode="General_)"/>
    <numFmt numFmtId="169" formatCode="mmm\-yy_)"/>
    <numFmt numFmtId="170" formatCode="0.0_)"/>
    <numFmt numFmtId="171" formatCode="mmmm\ d\,\ yyyy"/>
    <numFmt numFmtId="172" formatCode="0.0%"/>
    <numFmt numFmtId="173" formatCode="dd\-mmm\-yy_)"/>
    <numFmt numFmtId="174" formatCode="_-* #,##0\ _P_t_s_-;\-* #,##0\ _P_t_s_-;_-* &quot;-&quot;\ _P_t_s_-;_-@_-"/>
    <numFmt numFmtId="175" formatCode="_-* #,##0.00\ _P_t_s_-;\-* #,##0.00\ _P_t_s_-;_-* &quot;-&quot;??\ _P_t_s_-;_-@_-"/>
    <numFmt numFmtId="176" formatCode="#."/>
    <numFmt numFmtId="177" formatCode="_ [$€]\ * #,##0.00_ ;_ [$€]\ * \-#,##0.00_ ;_ [$€]\ * &quot;-&quot;??_ ;_ @_ "/>
  </numFmts>
  <fonts count="32" x14ac:knownFonts="1">
    <font>
      <sz val="10"/>
      <name val="Arial"/>
    </font>
    <font>
      <sz val="11"/>
      <color theme="1"/>
      <name val="Calibri"/>
      <family val="2"/>
      <scheme val="minor"/>
    </font>
    <font>
      <b/>
      <sz val="10"/>
      <name val="Arial"/>
      <family val="2"/>
    </font>
    <font>
      <sz val="10"/>
      <name val="Arial"/>
      <family val="2"/>
    </font>
    <font>
      <b/>
      <sz val="10"/>
      <name val="Arial"/>
      <family val="2"/>
    </font>
    <font>
      <sz val="8"/>
      <name val="Arial"/>
      <family val="2"/>
    </font>
    <font>
      <b/>
      <sz val="8"/>
      <name val="Arial"/>
      <family val="2"/>
    </font>
    <font>
      <b/>
      <sz val="9"/>
      <name val="Arial"/>
      <family val="2"/>
    </font>
    <font>
      <sz val="8"/>
      <name val="Arial"/>
      <family val="2"/>
    </font>
    <font>
      <sz val="12"/>
      <name val="Courier"/>
      <family val="3"/>
    </font>
    <font>
      <b/>
      <sz val="12"/>
      <name val="Arial"/>
      <family val="2"/>
    </font>
    <font>
      <sz val="12"/>
      <name val="Courier"/>
      <family val="3"/>
    </font>
    <font>
      <sz val="1"/>
      <color indexed="16"/>
      <name val="Courier"/>
      <family val="3"/>
    </font>
    <font>
      <i/>
      <sz val="1"/>
      <color indexed="16"/>
      <name val="Courier"/>
      <family val="3"/>
    </font>
    <font>
      <b/>
      <sz val="1"/>
      <color indexed="16"/>
      <name val="Courier"/>
      <family val="3"/>
    </font>
    <font>
      <sz val="11"/>
      <name val="Calibri"/>
      <family val="2"/>
    </font>
    <font>
      <sz val="11"/>
      <color indexed="8"/>
      <name val="Calibri"/>
      <family val="2"/>
    </font>
    <font>
      <sz val="8"/>
      <name val="Tahoma"/>
      <family val="2"/>
    </font>
    <font>
      <sz val="8"/>
      <color theme="1"/>
      <name val="Tahoma"/>
      <family val="2"/>
    </font>
    <font>
      <b/>
      <sz val="10"/>
      <name val="Calibri"/>
      <family val="2"/>
      <scheme val="minor"/>
    </font>
    <font>
      <sz val="10"/>
      <name val="Calibri"/>
      <family val="2"/>
      <scheme val="minor"/>
    </font>
    <font>
      <sz val="10"/>
      <color indexed="8"/>
      <name val="Calibri"/>
      <family val="2"/>
      <scheme val="minor"/>
    </font>
    <font>
      <b/>
      <sz val="10"/>
      <color indexed="8"/>
      <name val="Calibri"/>
      <family val="2"/>
      <scheme val="minor"/>
    </font>
    <font>
      <b/>
      <sz val="12"/>
      <name val="Calibri"/>
      <family val="2"/>
      <scheme val="minor"/>
    </font>
    <font>
      <b/>
      <sz val="9"/>
      <color theme="1"/>
      <name val="Arial"/>
      <family val="2"/>
    </font>
    <font>
      <sz val="9"/>
      <color theme="1"/>
      <name val="Arial"/>
      <family val="2"/>
    </font>
    <font>
      <sz val="8"/>
      <color theme="1"/>
      <name val="Calibri"/>
      <family val="2"/>
      <scheme val="minor"/>
    </font>
    <font>
      <sz val="8"/>
      <color theme="1"/>
      <name val="Arial"/>
      <family val="2"/>
    </font>
    <font>
      <b/>
      <sz val="8"/>
      <color theme="1"/>
      <name val="Arial"/>
      <family val="2"/>
    </font>
    <font>
      <sz val="8"/>
      <name val="Calibri"/>
      <family val="2"/>
    </font>
    <font>
      <b/>
      <sz val="8"/>
      <name val="Bookman Old Style"/>
      <family val="1"/>
    </font>
    <font>
      <sz val="8"/>
      <name val="Bookman Old Style"/>
      <family val="1"/>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s>
  <borders count="48">
    <border>
      <left/>
      <right/>
      <top/>
      <bottom/>
      <diagonal/>
    </border>
    <border>
      <left/>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3">
    <xf numFmtId="0" fontId="0" fillId="0" borderId="0"/>
    <xf numFmtId="176" fontId="12" fillId="0" borderId="0">
      <protection locked="0"/>
    </xf>
    <xf numFmtId="176" fontId="12" fillId="0" borderId="0">
      <protection locked="0"/>
    </xf>
    <xf numFmtId="176" fontId="12" fillId="0" borderId="0">
      <protection locked="0"/>
    </xf>
    <xf numFmtId="177" fontId="11" fillId="0" borderId="0" applyFont="0" applyFill="0" applyBorder="0" applyAlignment="0" applyProtection="0"/>
    <xf numFmtId="176" fontId="12" fillId="0" borderId="0">
      <protection locked="0"/>
    </xf>
    <xf numFmtId="176" fontId="12" fillId="0" borderId="0">
      <protection locked="0"/>
    </xf>
    <xf numFmtId="176" fontId="13" fillId="0" borderId="0">
      <protection locked="0"/>
    </xf>
    <xf numFmtId="176" fontId="12" fillId="0" borderId="0">
      <protection locked="0"/>
    </xf>
    <xf numFmtId="176" fontId="12" fillId="0" borderId="0">
      <protection locked="0"/>
    </xf>
    <xf numFmtId="176" fontId="12" fillId="0" borderId="0">
      <protection locked="0"/>
    </xf>
    <xf numFmtId="176" fontId="13" fillId="0" borderId="0">
      <protection locked="0"/>
    </xf>
    <xf numFmtId="176" fontId="12" fillId="0" borderId="0">
      <protection locked="0"/>
    </xf>
    <xf numFmtId="176" fontId="14" fillId="0" borderId="0">
      <protection locked="0"/>
    </xf>
    <xf numFmtId="176" fontId="14" fillId="0" borderId="0">
      <protection locked="0"/>
    </xf>
    <xf numFmtId="43" fontId="3" fillId="0" borderId="0" applyFont="0" applyFill="0" applyBorder="0" applyAlignment="0" applyProtection="0"/>
    <xf numFmtId="41" fontId="3" fillId="0" borderId="0" applyFont="0" applyFill="0" applyBorder="0" applyAlignment="0" applyProtection="0"/>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64" fontId="16" fillId="0" borderId="0" applyFont="0" applyFill="0" applyBorder="0" applyAlignment="0" applyProtection="0"/>
    <xf numFmtId="0" fontId="3" fillId="0" borderId="0"/>
    <xf numFmtId="37" fontId="9" fillId="0" borderId="0"/>
    <xf numFmtId="0" fontId="3" fillId="0" borderId="0"/>
    <xf numFmtId="37" fontId="11" fillId="0" borderId="0"/>
    <xf numFmtId="0" fontId="18" fillId="0" borderId="0"/>
    <xf numFmtId="0" fontId="16" fillId="0" borderId="0"/>
    <xf numFmtId="176" fontId="12" fillId="0" borderId="0">
      <protection locked="0"/>
    </xf>
    <xf numFmtId="9" fontId="3" fillId="0" borderId="0" applyFont="0" applyFill="0" applyBorder="0" applyAlignment="0" applyProtection="0"/>
    <xf numFmtId="0" fontId="1" fillId="0" borderId="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cellStyleXfs>
  <cellXfs count="314">
    <xf numFmtId="0" fontId="0" fillId="0" borderId="0" xfId="0"/>
    <xf numFmtId="0" fontId="0" fillId="0" borderId="0" xfId="0" applyAlignment="1">
      <alignment horizontal="center"/>
    </xf>
    <xf numFmtId="0" fontId="4" fillId="0" borderId="0" xfId="0" applyFont="1" applyAlignment="1">
      <alignment horizontal="center"/>
    </xf>
    <xf numFmtId="0" fontId="4" fillId="0" borderId="0" xfId="0" applyFont="1"/>
    <xf numFmtId="165" fontId="5" fillId="0" borderId="0" xfId="15" applyNumberFormat="1" applyFont="1" applyAlignment="1">
      <alignment horizontal="right"/>
    </xf>
    <xf numFmtId="165" fontId="5" fillId="0" borderId="0" xfId="15" applyNumberFormat="1" applyFont="1" applyFill="1" applyAlignment="1">
      <alignment horizontal="right"/>
    </xf>
    <xf numFmtId="165" fontId="5" fillId="0" borderId="0" xfId="15" applyNumberFormat="1" applyFont="1" applyBorder="1" applyAlignment="1">
      <alignment horizontal="center"/>
    </xf>
    <xf numFmtId="165" fontId="6" fillId="0" borderId="1" xfId="15" applyNumberFormat="1" applyFont="1" applyBorder="1" applyAlignment="1">
      <alignment horizontal="right"/>
    </xf>
    <xf numFmtId="3" fontId="5" fillId="0" borderId="0" xfId="0" applyNumberFormat="1" applyFont="1" applyAlignment="1">
      <alignment horizontal="right"/>
    </xf>
    <xf numFmtId="3" fontId="0" fillId="0" borderId="0" xfId="0" applyNumberFormat="1"/>
    <xf numFmtId="0" fontId="3" fillId="0" borderId="0" xfId="0" applyFont="1"/>
    <xf numFmtId="166" fontId="19" fillId="0" borderId="0" xfId="0" applyNumberFormat="1" applyFont="1" applyAlignment="1">
      <alignment horizontal="left"/>
    </xf>
    <xf numFmtId="166" fontId="20" fillId="0" borderId="0" xfId="0" applyNumberFormat="1" applyFont="1"/>
    <xf numFmtId="166" fontId="20" fillId="0" borderId="0" xfId="0" applyNumberFormat="1" applyFont="1" applyAlignment="1">
      <alignment horizontal="left"/>
    </xf>
    <xf numFmtId="168" fontId="20" fillId="0" borderId="0" xfId="0" applyNumberFormat="1" applyFont="1" applyAlignment="1">
      <alignment horizontal="left"/>
    </xf>
    <xf numFmtId="0" fontId="19" fillId="0" borderId="0" xfId="0" applyFont="1" applyAlignment="1">
      <alignment horizontal="left"/>
    </xf>
    <xf numFmtId="0" fontId="20" fillId="0" borderId="0" xfId="0" applyFont="1" applyAlignment="1">
      <alignment horizontal="left"/>
    </xf>
    <xf numFmtId="10" fontId="20" fillId="0" borderId="0" xfId="0" applyNumberFormat="1" applyFont="1" applyAlignment="1">
      <alignment horizontal="left"/>
    </xf>
    <xf numFmtId="171" fontId="20" fillId="0" borderId="0" xfId="0" applyNumberFormat="1" applyFont="1"/>
    <xf numFmtId="0" fontId="20" fillId="0" borderId="0" xfId="0" applyFont="1" applyAlignment="1">
      <alignment horizontal="fill"/>
    </xf>
    <xf numFmtId="172" fontId="20" fillId="0" borderId="0" xfId="0" applyNumberFormat="1" applyFont="1"/>
    <xf numFmtId="0" fontId="20" fillId="0" borderId="0" xfId="0" applyFont="1"/>
    <xf numFmtId="0" fontId="20" fillId="0" borderId="0" xfId="0" applyFont="1" applyAlignment="1">
      <alignment horizontal="right"/>
    </xf>
    <xf numFmtId="167" fontId="20" fillId="0" borderId="0" xfId="0" applyNumberFormat="1" applyFont="1"/>
    <xf numFmtId="10" fontId="20" fillId="0" borderId="0" xfId="0" applyNumberFormat="1" applyFont="1"/>
    <xf numFmtId="37" fontId="19" fillId="0" borderId="0" xfId="0" applyNumberFormat="1" applyFont="1"/>
    <xf numFmtId="37" fontId="20" fillId="0" borderId="0" xfId="0" applyNumberFormat="1" applyFont="1"/>
    <xf numFmtId="37" fontId="21" fillId="0" borderId="0" xfId="22" applyFont="1" applyAlignment="1">
      <alignment horizontal="center"/>
    </xf>
    <xf numFmtId="0" fontId="20" fillId="0" borderId="0" xfId="0" applyFont="1" applyAlignment="1">
      <alignment horizontal="center"/>
    </xf>
    <xf numFmtId="170" fontId="20" fillId="0" borderId="0" xfId="0" applyNumberFormat="1" applyFont="1"/>
    <xf numFmtId="169" fontId="20" fillId="0" borderId="0" xfId="0" applyNumberFormat="1" applyFont="1"/>
    <xf numFmtId="169" fontId="20" fillId="0" borderId="0" xfId="0" applyNumberFormat="1" applyFont="1" applyAlignment="1">
      <alignment horizontal="center"/>
    </xf>
    <xf numFmtId="173" fontId="20" fillId="0" borderId="0" xfId="0" applyNumberFormat="1" applyFont="1" applyAlignment="1">
      <alignment horizontal="right"/>
    </xf>
    <xf numFmtId="168" fontId="20" fillId="0" borderId="0" xfId="0" applyNumberFormat="1" applyFont="1"/>
    <xf numFmtId="37" fontId="22" fillId="0" borderId="0" xfId="22" applyFont="1" applyAlignment="1">
      <alignment horizontal="center"/>
    </xf>
    <xf numFmtId="0" fontId="10" fillId="0" borderId="0" xfId="0" applyFont="1"/>
    <xf numFmtId="164" fontId="3" fillId="0" borderId="0" xfId="15" applyNumberFormat="1"/>
    <xf numFmtId="2" fontId="0" fillId="0" borderId="0" xfId="0" applyNumberFormat="1"/>
    <xf numFmtId="4" fontId="0" fillId="0" borderId="0" xfId="0" applyNumberFormat="1"/>
    <xf numFmtId="0" fontId="7" fillId="0" borderId="0" xfId="0" applyFont="1"/>
    <xf numFmtId="43" fontId="3" fillId="0" borderId="0" xfId="15"/>
    <xf numFmtId="0" fontId="0" fillId="0" borderId="4" xfId="0" applyBorder="1"/>
    <xf numFmtId="0" fontId="0" fillId="0" borderId="5" xfId="0" applyBorder="1"/>
    <xf numFmtId="0" fontId="0" fillId="0" borderId="3" xfId="0" applyBorder="1"/>
    <xf numFmtId="0" fontId="0" fillId="0" borderId="6" xfId="0" applyBorder="1"/>
    <xf numFmtId="164" fontId="0" fillId="0" borderId="0" xfId="0" applyNumberFormat="1"/>
    <xf numFmtId="0" fontId="0" fillId="0" borderId="7" xfId="0" applyBorder="1"/>
    <xf numFmtId="2" fontId="0" fillId="0" borderId="3" xfId="0" applyNumberFormat="1" applyBorder="1"/>
    <xf numFmtId="0" fontId="0" fillId="0" borderId="8" xfId="0" applyBorder="1"/>
    <xf numFmtId="0" fontId="0" fillId="0" borderId="9" xfId="0" applyBorder="1"/>
    <xf numFmtId="2" fontId="0" fillId="0" borderId="8" xfId="0" applyNumberFormat="1" applyBorder="1"/>
    <xf numFmtId="0" fontId="0" fillId="0" borderId="10" xfId="0" applyBorder="1" applyAlignment="1">
      <alignment horizontal="center" vertical="center" wrapText="1"/>
    </xf>
    <xf numFmtId="0" fontId="0" fillId="0" borderId="11" xfId="0" applyBorder="1"/>
    <xf numFmtId="2" fontId="0" fillId="0" borderId="12" xfId="0" applyNumberFormat="1" applyBorder="1"/>
    <xf numFmtId="0" fontId="0" fillId="0" borderId="12" xfId="0" applyBorder="1"/>
    <xf numFmtId="0" fontId="0" fillId="0" borderId="13" xfId="0" applyBorder="1"/>
    <xf numFmtId="0" fontId="0" fillId="0" borderId="14" xfId="0" applyBorder="1"/>
    <xf numFmtId="0" fontId="0" fillId="0" borderId="15" xfId="0" applyBorder="1"/>
    <xf numFmtId="0" fontId="0" fillId="0" borderId="10" xfId="0" applyBorder="1"/>
    <xf numFmtId="0" fontId="0" fillId="0" borderId="16" xfId="0" applyBorder="1"/>
    <xf numFmtId="0" fontId="0" fillId="0" borderId="17" xfId="0" applyBorder="1"/>
    <xf numFmtId="0" fontId="0" fillId="0" borderId="0" xfId="0" applyAlignment="1">
      <alignment horizontal="center" vertical="center" wrapText="1"/>
    </xf>
    <xf numFmtId="0" fontId="4" fillId="0" borderId="10" xfId="0" applyFont="1" applyBorder="1" applyAlignment="1">
      <alignment horizontal="center"/>
    </xf>
    <xf numFmtId="0" fontId="4" fillId="0" borderId="8" xfId="0" applyFont="1" applyBorder="1" applyAlignment="1">
      <alignment horizontal="center"/>
    </xf>
    <xf numFmtId="0" fontId="0" fillId="0" borderId="7" xfId="0" applyBorder="1" applyAlignment="1">
      <alignment horizontal="center" vertical="center" wrapText="1"/>
    </xf>
    <xf numFmtId="0" fontId="0" fillId="0" borderId="18" xfId="0" applyBorder="1"/>
    <xf numFmtId="0" fontId="0" fillId="0" borderId="19" xfId="0" applyBorder="1"/>
    <xf numFmtId="2" fontId="0" fillId="0" borderId="19" xfId="0" applyNumberFormat="1" applyBorder="1"/>
    <xf numFmtId="0" fontId="0" fillId="0" borderId="20" xfId="0" applyBorder="1"/>
    <xf numFmtId="2" fontId="0" fillId="0" borderId="9" xfId="0" applyNumberFormat="1" applyBorder="1"/>
    <xf numFmtId="4" fontId="0" fillId="0" borderId="19" xfId="0" applyNumberFormat="1" applyBorder="1"/>
    <xf numFmtId="0" fontId="0" fillId="0" borderId="7" xfId="0" applyBorder="1" applyAlignment="1">
      <alignment horizontal="left"/>
    </xf>
    <xf numFmtId="0" fontId="0" fillId="0" borderId="12" xfId="0" applyBorder="1" applyAlignment="1">
      <alignment horizontal="left"/>
    </xf>
    <xf numFmtId="4" fontId="0" fillId="0" borderId="20" xfId="0" applyNumberFormat="1" applyBorder="1"/>
    <xf numFmtId="4" fontId="0" fillId="0" borderId="18" xfId="0" applyNumberFormat="1" applyBorder="1"/>
    <xf numFmtId="10" fontId="3" fillId="0" borderId="0" xfId="28" applyNumberFormat="1"/>
    <xf numFmtId="10" fontId="0" fillId="0" borderId="0" xfId="28" applyNumberFormat="1" applyFont="1"/>
    <xf numFmtId="10" fontId="0" fillId="0" borderId="21" xfId="28" applyNumberFormat="1" applyFont="1" applyBorder="1"/>
    <xf numFmtId="10" fontId="0" fillId="0" borderId="5" xfId="28" applyNumberFormat="1" applyFont="1" applyBorder="1"/>
    <xf numFmtId="10" fontId="0" fillId="0" borderId="22" xfId="28" applyNumberFormat="1" applyFont="1" applyBorder="1"/>
    <xf numFmtId="10" fontId="0" fillId="0" borderId="23" xfId="28" applyNumberFormat="1" applyFont="1" applyBorder="1"/>
    <xf numFmtId="10" fontId="0" fillId="0" borderId="19" xfId="28" applyNumberFormat="1" applyFont="1" applyBorder="1"/>
    <xf numFmtId="10" fontId="0" fillId="0" borderId="20" xfId="28" applyNumberFormat="1" applyFont="1" applyBorder="1"/>
    <xf numFmtId="10" fontId="0" fillId="0" borderId="18" xfId="28" applyNumberFormat="1" applyFont="1" applyBorder="1"/>
    <xf numFmtId="43" fontId="0" fillId="0" borderId="21" xfId="15" applyFont="1" applyBorder="1"/>
    <xf numFmtId="0" fontId="0" fillId="0" borderId="0" xfId="0" applyAlignment="1">
      <alignment wrapText="1"/>
    </xf>
    <xf numFmtId="165" fontId="6" fillId="0" borderId="0" xfId="15" applyNumberFormat="1" applyFont="1" applyBorder="1" applyAlignment="1">
      <alignment horizontal="right"/>
    </xf>
    <xf numFmtId="0" fontId="15" fillId="0" borderId="0" xfId="0" applyFont="1" applyAlignment="1">
      <alignment vertical="center" wrapText="1"/>
    </xf>
    <xf numFmtId="169" fontId="19" fillId="0" borderId="24" xfId="0" applyNumberFormat="1" applyFont="1" applyBorder="1" applyAlignment="1">
      <alignment horizontal="center"/>
    </xf>
    <xf numFmtId="166" fontId="19" fillId="0" borderId="0" xfId="0" applyNumberFormat="1" applyFont="1" applyAlignment="1">
      <alignment vertical="center"/>
    </xf>
    <xf numFmtId="169" fontId="19" fillId="0" borderId="0" xfId="0" applyNumberFormat="1" applyFont="1" applyAlignment="1">
      <alignment horizontal="center"/>
    </xf>
    <xf numFmtId="166" fontId="19" fillId="0" borderId="25" xfId="0" applyNumberFormat="1" applyFont="1" applyBorder="1" applyAlignment="1">
      <alignment horizontal="center"/>
    </xf>
    <xf numFmtId="166" fontId="19" fillId="0" borderId="16" xfId="0" applyNumberFormat="1" applyFont="1" applyBorder="1" applyAlignment="1">
      <alignment vertical="center"/>
    </xf>
    <xf numFmtId="166" fontId="20" fillId="0" borderId="16" xfId="0" applyNumberFormat="1" applyFont="1" applyBorder="1" applyAlignment="1">
      <alignment horizontal="left"/>
    </xf>
    <xf numFmtId="166" fontId="19" fillId="0" borderId="16" xfId="0" applyNumberFormat="1" applyFont="1" applyBorder="1" applyAlignment="1">
      <alignment horizontal="left"/>
    </xf>
    <xf numFmtId="37" fontId="19" fillId="0" borderId="26" xfId="0" applyNumberFormat="1" applyFont="1" applyBorder="1"/>
    <xf numFmtId="168" fontId="20" fillId="0" borderId="16" xfId="0" applyNumberFormat="1" applyFont="1" applyBorder="1" applyAlignment="1">
      <alignment horizontal="left"/>
    </xf>
    <xf numFmtId="0" fontId="19" fillId="0" borderId="16" xfId="0" applyFont="1" applyBorder="1" applyAlignment="1">
      <alignment horizontal="left"/>
    </xf>
    <xf numFmtId="0" fontId="20" fillId="0" borderId="17" xfId="0" applyFont="1" applyBorder="1" applyAlignment="1">
      <alignment horizontal="left"/>
    </xf>
    <xf numFmtId="169" fontId="19" fillId="0" borderId="26" xfId="0" applyNumberFormat="1" applyFont="1" applyBorder="1" applyAlignment="1">
      <alignment horizontal="center"/>
    </xf>
    <xf numFmtId="0" fontId="20" fillId="0" borderId="16" xfId="0" applyFont="1" applyBorder="1" applyAlignment="1">
      <alignment horizontal="left"/>
    </xf>
    <xf numFmtId="166" fontId="19" fillId="0" borderId="16" xfId="0" applyNumberFormat="1" applyFont="1" applyBorder="1" applyAlignment="1">
      <alignment horizontal="center"/>
    </xf>
    <xf numFmtId="37" fontId="20" fillId="0" borderId="26" xfId="0" applyNumberFormat="1" applyFont="1" applyBorder="1"/>
    <xf numFmtId="0" fontId="20" fillId="2" borderId="27" xfId="0" applyFont="1" applyFill="1" applyBorder="1"/>
    <xf numFmtId="0" fontId="20" fillId="0" borderId="27" xfId="0" applyFont="1" applyBorder="1"/>
    <xf numFmtId="0" fontId="20" fillId="0" borderId="28" xfId="0" applyFont="1" applyBorder="1"/>
    <xf numFmtId="10" fontId="19" fillId="0" borderId="0" xfId="0" applyNumberFormat="1" applyFont="1"/>
    <xf numFmtId="10" fontId="20" fillId="0" borderId="27" xfId="0" applyNumberFormat="1" applyFont="1" applyBorder="1"/>
    <xf numFmtId="0" fontId="20" fillId="0" borderId="17" xfId="0" applyFont="1" applyBorder="1"/>
    <xf numFmtId="166" fontId="20" fillId="0" borderId="27" xfId="0" applyNumberFormat="1" applyFont="1" applyBorder="1" applyAlignment="1">
      <alignment horizontal="left"/>
    </xf>
    <xf numFmtId="166" fontId="20" fillId="0" borderId="27" xfId="0" applyNumberFormat="1" applyFont="1" applyBorder="1"/>
    <xf numFmtId="10" fontId="20" fillId="0" borderId="0" xfId="0" applyNumberFormat="1" applyFont="1" applyAlignment="1">
      <alignment horizontal="center"/>
    </xf>
    <xf numFmtId="10" fontId="20" fillId="0" borderId="27" xfId="0" applyNumberFormat="1" applyFont="1" applyBorder="1" applyAlignment="1">
      <alignment horizontal="center"/>
    </xf>
    <xf numFmtId="166" fontId="19" fillId="0" borderId="29" xfId="0" applyNumberFormat="1" applyFont="1" applyBorder="1" applyAlignment="1">
      <alignment horizontal="center"/>
    </xf>
    <xf numFmtId="166" fontId="20" fillId="0" borderId="16" xfId="22" applyNumberFormat="1" applyFont="1" applyBorder="1" applyAlignment="1">
      <alignment horizontal="left"/>
    </xf>
    <xf numFmtId="37" fontId="21" fillId="0" borderId="26" xfId="22" applyFont="1" applyBorder="1" applyAlignment="1">
      <alignment horizontal="center"/>
    </xf>
    <xf numFmtId="166" fontId="19" fillId="0" borderId="16" xfId="22" applyNumberFormat="1" applyFont="1" applyBorder="1" applyAlignment="1">
      <alignment horizontal="left"/>
    </xf>
    <xf numFmtId="37" fontId="22" fillId="0" borderId="26" xfId="22" applyFont="1" applyBorder="1" applyAlignment="1">
      <alignment horizontal="center"/>
    </xf>
    <xf numFmtId="168" fontId="20" fillId="0" borderId="16" xfId="22" applyNumberFormat="1" applyFont="1" applyBorder="1" applyAlignment="1">
      <alignment horizontal="left"/>
    </xf>
    <xf numFmtId="166" fontId="20" fillId="3" borderId="16" xfId="0" applyNumberFormat="1" applyFont="1" applyFill="1" applyBorder="1" applyAlignment="1">
      <alignment horizontal="left"/>
    </xf>
    <xf numFmtId="166" fontId="20" fillId="3" borderId="0" xfId="0" applyNumberFormat="1" applyFont="1" applyFill="1"/>
    <xf numFmtId="37" fontId="20" fillId="3" borderId="0" xfId="0" applyNumberFormat="1" applyFont="1" applyFill="1"/>
    <xf numFmtId="167" fontId="20" fillId="3" borderId="0" xfId="0" applyNumberFormat="1" applyFont="1" applyFill="1"/>
    <xf numFmtId="166" fontId="20" fillId="3" borderId="17" xfId="0" applyNumberFormat="1" applyFont="1" applyFill="1" applyBorder="1" applyAlignment="1">
      <alignment horizontal="left"/>
    </xf>
    <xf numFmtId="166" fontId="20" fillId="3" borderId="27" xfId="0" applyNumberFormat="1" applyFont="1" applyFill="1" applyBorder="1"/>
    <xf numFmtId="165" fontId="5" fillId="0" borderId="0" xfId="15" applyNumberFormat="1" applyFont="1" applyAlignment="1" applyProtection="1">
      <alignment horizontal="right"/>
      <protection locked="0"/>
    </xf>
    <xf numFmtId="165" fontId="5" fillId="0" borderId="0" xfId="15" applyNumberFormat="1" applyFont="1" applyFill="1" applyAlignment="1" applyProtection="1">
      <alignment horizontal="right"/>
      <protection locked="0"/>
    </xf>
    <xf numFmtId="0" fontId="23" fillId="0" borderId="0" xfId="0" applyFont="1"/>
    <xf numFmtId="167" fontId="19" fillId="0" borderId="25" xfId="0" quotePrefix="1" applyNumberFormat="1" applyFont="1" applyBorder="1" applyAlignment="1">
      <alignment horizontal="center"/>
    </xf>
    <xf numFmtId="0" fontId="19" fillId="0" borderId="0" xfId="0" applyFont="1"/>
    <xf numFmtId="37" fontId="20" fillId="0" borderId="27" xfId="0" applyNumberFormat="1" applyFont="1" applyBorder="1"/>
    <xf numFmtId="37" fontId="20" fillId="0" borderId="28" xfId="0" applyNumberFormat="1" applyFont="1" applyBorder="1"/>
    <xf numFmtId="0" fontId="20" fillId="0" borderId="26" xfId="0" applyFont="1" applyBorder="1"/>
    <xf numFmtId="0" fontId="20" fillId="0" borderId="16" xfId="0" applyFont="1" applyBorder="1"/>
    <xf numFmtId="3" fontId="20" fillId="0" borderId="0" xfId="0" applyNumberFormat="1" applyFont="1"/>
    <xf numFmtId="0" fontId="20" fillId="3" borderId="26" xfId="0" applyFont="1" applyFill="1" applyBorder="1"/>
    <xf numFmtId="166" fontId="20" fillId="3" borderId="26" xfId="0" applyNumberFormat="1" applyFont="1" applyFill="1" applyBorder="1"/>
    <xf numFmtId="37" fontId="20" fillId="3" borderId="26" xfId="0" applyNumberFormat="1" applyFont="1" applyFill="1" applyBorder="1"/>
    <xf numFmtId="167" fontId="20" fillId="3" borderId="26" xfId="0" applyNumberFormat="1" applyFont="1" applyFill="1" applyBorder="1"/>
    <xf numFmtId="0" fontId="19" fillId="3" borderId="26" xfId="0" applyFont="1" applyFill="1" applyBorder="1"/>
    <xf numFmtId="166" fontId="20" fillId="3" borderId="28" xfId="0" applyNumberFormat="1" applyFont="1" applyFill="1" applyBorder="1"/>
    <xf numFmtId="10" fontId="20" fillId="0" borderId="0" xfId="28" applyNumberFormat="1" applyFont="1" applyFill="1" applyBorder="1" applyAlignment="1" applyProtection="1">
      <alignment horizontal="center"/>
    </xf>
    <xf numFmtId="166" fontId="19" fillId="0" borderId="32" xfId="0" applyNumberFormat="1" applyFont="1" applyBorder="1" applyAlignment="1">
      <alignment horizontal="center"/>
    </xf>
    <xf numFmtId="0" fontId="20" fillId="3" borderId="0" xfId="0" applyFont="1" applyFill="1"/>
    <xf numFmtId="0" fontId="19" fillId="3" borderId="0" xfId="0" applyFont="1" applyFill="1"/>
    <xf numFmtId="169" fontId="19" fillId="0" borderId="33" xfId="0" applyNumberFormat="1" applyFont="1" applyBorder="1" applyAlignment="1">
      <alignment horizontal="center"/>
    </xf>
    <xf numFmtId="166" fontId="19" fillId="3" borderId="34" xfId="0" applyNumberFormat="1" applyFont="1" applyFill="1" applyBorder="1" applyAlignment="1">
      <alignment horizontal="center"/>
    </xf>
    <xf numFmtId="169" fontId="19" fillId="3" borderId="35" xfId="0" applyNumberFormat="1" applyFont="1" applyFill="1" applyBorder="1" applyAlignment="1">
      <alignment horizontal="center"/>
    </xf>
    <xf numFmtId="37" fontId="20" fillId="0" borderId="27" xfId="0" applyNumberFormat="1" applyFont="1" applyBorder="1" applyAlignment="1">
      <alignment horizontal="center"/>
    </xf>
    <xf numFmtId="169" fontId="19" fillId="0" borderId="36" xfId="0" applyNumberFormat="1" applyFont="1" applyBorder="1" applyAlignment="1">
      <alignment horizontal="center"/>
    </xf>
    <xf numFmtId="166" fontId="19" fillId="0" borderId="34" xfId="0" applyNumberFormat="1" applyFont="1" applyBorder="1" applyAlignment="1">
      <alignment vertical="center"/>
    </xf>
    <xf numFmtId="15" fontId="19" fillId="0" borderId="35" xfId="0" applyNumberFormat="1" applyFont="1" applyBorder="1" applyAlignment="1">
      <alignment horizontal="center"/>
    </xf>
    <xf numFmtId="166" fontId="19" fillId="0" borderId="34" xfId="0" applyNumberFormat="1" applyFont="1" applyBorder="1"/>
    <xf numFmtId="169" fontId="19" fillId="0" borderId="35" xfId="0" applyNumberFormat="1" applyFont="1" applyBorder="1" applyAlignment="1">
      <alignment horizontal="center"/>
    </xf>
    <xf numFmtId="169" fontId="19" fillId="3" borderId="33" xfId="0" applyNumberFormat="1" applyFont="1" applyFill="1" applyBorder="1" applyAlignment="1">
      <alignment horizontal="center"/>
    </xf>
    <xf numFmtId="165" fontId="5" fillId="0" borderId="0" xfId="18" applyNumberFormat="1" applyFont="1" applyAlignment="1" applyProtection="1">
      <alignment horizontal="right"/>
      <protection locked="0"/>
    </xf>
    <xf numFmtId="0" fontId="24" fillId="0" borderId="0" xfId="0" applyFont="1"/>
    <xf numFmtId="0" fontId="25" fillId="0" borderId="0" xfId="0" applyFont="1"/>
    <xf numFmtId="0" fontId="26" fillId="0" borderId="0" xfId="0" applyFont="1"/>
    <xf numFmtId="0" fontId="27" fillId="0" borderId="0" xfId="0" applyFont="1"/>
    <xf numFmtId="0" fontId="25" fillId="0" borderId="24" xfId="0" applyFont="1" applyBorder="1"/>
    <xf numFmtId="165" fontId="25" fillId="0" borderId="24" xfId="15" applyNumberFormat="1" applyFont="1" applyBorder="1"/>
    <xf numFmtId="10" fontId="25" fillId="0" borderId="24" xfId="28" applyNumberFormat="1" applyFont="1" applyBorder="1"/>
    <xf numFmtId="0" fontId="25" fillId="0" borderId="20" xfId="0" applyFont="1" applyBorder="1" applyAlignment="1">
      <alignment vertical="center" wrapText="1"/>
    </xf>
    <xf numFmtId="0" fontId="25" fillId="0" borderId="24" xfId="0" applyFont="1" applyBorder="1" applyAlignment="1">
      <alignment vertical="center" wrapText="1"/>
    </xf>
    <xf numFmtId="0" fontId="25" fillId="4" borderId="24" xfId="0" applyFont="1" applyFill="1" applyBorder="1" applyProtection="1">
      <protection locked="0"/>
    </xf>
    <xf numFmtId="165" fontId="20" fillId="0" borderId="0" xfId="15" applyNumberFormat="1" applyFont="1" applyAlignment="1" applyProtection="1">
      <alignment horizontal="left"/>
    </xf>
    <xf numFmtId="165" fontId="20" fillId="0" borderId="0" xfId="15" applyNumberFormat="1" applyFont="1" applyAlignment="1" applyProtection="1">
      <alignment horizontal="fill"/>
    </xf>
    <xf numFmtId="165" fontId="20" fillId="0" borderId="0" xfId="15" applyNumberFormat="1" applyFont="1" applyProtection="1"/>
    <xf numFmtId="41" fontId="5" fillId="0" borderId="0" xfId="16" applyFont="1" applyAlignment="1" applyProtection="1">
      <alignment horizontal="right"/>
      <protection locked="0"/>
    </xf>
    <xf numFmtId="41" fontId="6" fillId="0" borderId="1" xfId="16" applyFont="1" applyBorder="1" applyAlignment="1">
      <alignment horizontal="right"/>
    </xf>
    <xf numFmtId="41" fontId="5" fillId="0" borderId="0" xfId="16" applyFont="1" applyFill="1" applyAlignment="1" applyProtection="1">
      <alignment horizontal="right"/>
      <protection locked="0"/>
    </xf>
    <xf numFmtId="41" fontId="17" fillId="0" borderId="0" xfId="16" applyFont="1" applyFill="1" applyBorder="1"/>
    <xf numFmtId="10" fontId="19" fillId="0" borderId="0" xfId="0" applyNumberFormat="1" applyFont="1" applyAlignment="1">
      <alignment horizontal="center"/>
    </xf>
    <xf numFmtId="41" fontId="20" fillId="3" borderId="0" xfId="16" applyFont="1" applyFill="1" applyBorder="1" applyProtection="1"/>
    <xf numFmtId="0" fontId="2" fillId="0" borderId="0" xfId="0" applyFont="1"/>
    <xf numFmtId="10" fontId="28" fillId="2" borderId="30" xfId="28" applyNumberFormat="1" applyFont="1" applyFill="1" applyBorder="1"/>
    <xf numFmtId="0" fontId="5" fillId="0" borderId="0" xfId="0" applyFont="1"/>
    <xf numFmtId="165" fontId="25" fillId="0" borderId="24" xfId="15" applyNumberFormat="1" applyFont="1" applyBorder="1" applyProtection="1">
      <protection locked="0"/>
    </xf>
    <xf numFmtId="10" fontId="25" fillId="0" borderId="24" xfId="28" applyNumberFormat="1" applyFont="1" applyBorder="1" applyProtection="1">
      <protection locked="0"/>
    </xf>
    <xf numFmtId="0" fontId="29" fillId="0" borderId="0" xfId="0" applyFont="1" applyAlignment="1">
      <alignment vertical="center" wrapText="1"/>
    </xf>
    <xf numFmtId="0" fontId="5" fillId="0" borderId="0" xfId="0" applyFont="1" applyAlignment="1">
      <alignment horizontal="right"/>
    </xf>
    <xf numFmtId="0" fontId="6" fillId="0" borderId="0" xfId="0" applyFont="1" applyAlignment="1">
      <alignment horizontal="centerContinuous"/>
    </xf>
    <xf numFmtId="0" fontId="6" fillId="0" borderId="0" xfId="0" applyFont="1" applyAlignment="1">
      <alignment horizontal="centerContinuous" vertical="top"/>
    </xf>
    <xf numFmtId="0" fontId="6" fillId="0" borderId="0" xfId="0" applyFont="1" applyAlignment="1">
      <alignment horizontal="right"/>
    </xf>
    <xf numFmtId="0" fontId="6" fillId="0" borderId="0" xfId="0" applyFont="1"/>
    <xf numFmtId="0" fontId="6" fillId="0" borderId="0" xfId="0" applyFont="1" applyAlignment="1">
      <alignment horizontal="right" vertical="top"/>
    </xf>
    <xf numFmtId="49" fontId="30" fillId="0" borderId="0" xfId="0" applyNumberFormat="1" applyFont="1" applyAlignment="1">
      <alignment horizontal="center"/>
    </xf>
    <xf numFmtId="0" fontId="31" fillId="0" borderId="0" xfId="0" applyFont="1"/>
    <xf numFmtId="1" fontId="30" fillId="0" borderId="0" xfId="0" applyNumberFormat="1" applyFont="1" applyAlignment="1">
      <alignment horizontal="center"/>
    </xf>
    <xf numFmtId="0" fontId="31" fillId="0" borderId="0" xfId="0" applyFont="1" applyAlignment="1">
      <alignment horizontal="center"/>
    </xf>
    <xf numFmtId="14" fontId="30" fillId="4" borderId="0" xfId="0" applyNumberFormat="1" applyFont="1" applyFill="1" applyAlignment="1" applyProtection="1">
      <alignment horizontal="center"/>
      <protection locked="0"/>
    </xf>
    <xf numFmtId="1" fontId="30" fillId="3" borderId="0" xfId="0" applyNumberFormat="1" applyFont="1" applyFill="1" applyAlignment="1">
      <alignment horizontal="center"/>
    </xf>
    <xf numFmtId="0" fontId="30" fillId="0" borderId="0" xfId="0" applyFont="1" applyAlignment="1" applyProtection="1">
      <alignment horizontal="center"/>
      <protection locked="0"/>
    </xf>
    <xf numFmtId="0" fontId="30" fillId="0" borderId="0" xfId="0" applyFont="1" applyAlignment="1">
      <alignment horizontal="center"/>
    </xf>
    <xf numFmtId="0" fontId="6" fillId="0" borderId="0" xfId="0" applyFont="1" applyAlignment="1">
      <alignment horizontal="center"/>
    </xf>
    <xf numFmtId="165" fontId="6" fillId="0" borderId="0" xfId="0" applyNumberFormat="1" applyFont="1" applyAlignment="1">
      <alignment horizontal="right"/>
    </xf>
    <xf numFmtId="41" fontId="6" fillId="0" borderId="0" xfId="16" applyFont="1" applyProtection="1"/>
    <xf numFmtId="0" fontId="5" fillId="0" borderId="0" xfId="0" applyFont="1" applyAlignment="1">
      <alignment horizontal="center"/>
    </xf>
    <xf numFmtId="41" fontId="5" fillId="0" borderId="0" xfId="16" applyFont="1" applyProtection="1"/>
    <xf numFmtId="41" fontId="5" fillId="0" borderId="0" xfId="16" applyFont="1" applyBorder="1" applyAlignment="1">
      <alignment horizontal="right"/>
    </xf>
    <xf numFmtId="41" fontId="6" fillId="0" borderId="1" xfId="16" applyFont="1" applyFill="1" applyBorder="1" applyAlignment="1">
      <alignment horizontal="right"/>
    </xf>
    <xf numFmtId="41" fontId="5" fillId="0" borderId="0" xfId="16" applyFont="1" applyFill="1" applyProtection="1"/>
    <xf numFmtId="41" fontId="5" fillId="0" borderId="0" xfId="16" applyFont="1" applyProtection="1">
      <protection locked="0"/>
    </xf>
    <xf numFmtId="0" fontId="5" fillId="0" borderId="0" xfId="0" applyFont="1" applyProtection="1">
      <protection locked="0"/>
    </xf>
    <xf numFmtId="41" fontId="5" fillId="0" borderId="0" xfId="16" applyFont="1" applyBorder="1" applyProtection="1"/>
    <xf numFmtId="0" fontId="5" fillId="0" borderId="0" xfId="0" applyFont="1" applyAlignment="1" applyProtection="1">
      <alignment horizontal="right"/>
      <protection locked="0"/>
    </xf>
    <xf numFmtId="3" fontId="6" fillId="0" borderId="1" xfId="0" applyNumberFormat="1" applyFont="1" applyBorder="1" applyAlignment="1">
      <alignment horizontal="right"/>
    </xf>
    <xf numFmtId="3" fontId="6" fillId="0" borderId="0" xfId="0" applyNumberFormat="1" applyFont="1" applyAlignment="1">
      <alignment horizontal="right"/>
    </xf>
    <xf numFmtId="41" fontId="6" fillId="0" borderId="3" xfId="16" applyFont="1" applyBorder="1" applyAlignment="1">
      <alignment horizontal="right"/>
    </xf>
    <xf numFmtId="41" fontId="6" fillId="0" borderId="0" xfId="16" applyFont="1" applyAlignment="1" applyProtection="1">
      <alignment horizontal="center"/>
    </xf>
    <xf numFmtId="41" fontId="6" fillId="0" borderId="0" xfId="16" applyFont="1" applyBorder="1" applyProtection="1"/>
    <xf numFmtId="41" fontId="5" fillId="0" borderId="0" xfId="16" applyFont="1"/>
    <xf numFmtId="165" fontId="6" fillId="0" borderId="1" xfId="15" applyNumberFormat="1" applyFont="1" applyFill="1" applyBorder="1" applyAlignment="1">
      <alignment horizontal="right"/>
    </xf>
    <xf numFmtId="165" fontId="6" fillId="0" borderId="0" xfId="15" applyNumberFormat="1" applyFont="1" applyFill="1" applyBorder="1" applyAlignment="1">
      <alignment horizontal="right"/>
    </xf>
    <xf numFmtId="41" fontId="6" fillId="0" borderId="2" xfId="16" applyFont="1" applyBorder="1" applyAlignment="1">
      <alignment horizontal="right"/>
    </xf>
    <xf numFmtId="165" fontId="6" fillId="0" borderId="2" xfId="15" applyNumberFormat="1" applyFont="1" applyBorder="1" applyAlignment="1">
      <alignment horizontal="right"/>
    </xf>
    <xf numFmtId="165" fontId="5" fillId="0" borderId="1" xfId="15" applyNumberFormat="1" applyFont="1" applyBorder="1" applyAlignment="1">
      <alignment horizontal="right"/>
    </xf>
    <xf numFmtId="41" fontId="5" fillId="0" borderId="1" xfId="16" applyFont="1" applyBorder="1" applyAlignment="1">
      <alignment horizontal="right"/>
    </xf>
    <xf numFmtId="165" fontId="5" fillId="0" borderId="0" xfId="15" applyNumberFormat="1" applyFont="1" applyBorder="1" applyAlignment="1">
      <alignment horizontal="right"/>
    </xf>
    <xf numFmtId="165" fontId="5" fillId="0" borderId="0" xfId="0" applyNumberFormat="1" applyFont="1"/>
    <xf numFmtId="41" fontId="5" fillId="0" borderId="0" xfId="16" applyFont="1" applyAlignment="1">
      <alignment horizontal="right"/>
    </xf>
    <xf numFmtId="41" fontId="5" fillId="0" borderId="0" xfId="16" applyFont="1" applyBorder="1" applyAlignment="1" applyProtection="1">
      <alignment horizontal="center"/>
      <protection locked="0"/>
    </xf>
    <xf numFmtId="165" fontId="5" fillId="0" borderId="0" xfId="0" applyNumberFormat="1" applyFont="1" applyProtection="1">
      <protection locked="0"/>
    </xf>
    <xf numFmtId="41" fontId="5" fillId="0" borderId="0" xfId="16" applyFont="1" applyBorder="1"/>
    <xf numFmtId="3" fontId="5" fillId="0" borderId="0" xfId="0" applyNumberFormat="1" applyFont="1"/>
    <xf numFmtId="0" fontId="5" fillId="0" borderId="0" xfId="0" applyFont="1" applyAlignment="1">
      <alignment horizontal="centerContinuous"/>
    </xf>
    <xf numFmtId="1" fontId="6" fillId="0" borderId="0" xfId="0" applyNumberFormat="1" applyFont="1" applyAlignment="1">
      <alignment horizontal="center" vertical="top"/>
    </xf>
    <xf numFmtId="1" fontId="6" fillId="0" borderId="0" xfId="0" applyNumberFormat="1" applyFont="1" applyAlignment="1">
      <alignment horizontal="center"/>
    </xf>
    <xf numFmtId="0" fontId="5" fillId="0" borderId="0" xfId="0" applyFont="1" applyAlignment="1">
      <alignment horizontal="left"/>
    </xf>
    <xf numFmtId="41" fontId="6" fillId="0" borderId="1" xfId="16" applyFont="1" applyFill="1" applyBorder="1" applyAlignment="1">
      <alignment horizontal="center"/>
    </xf>
    <xf numFmtId="0" fontId="6" fillId="0" borderId="0" xfId="0" applyFont="1" applyAlignment="1">
      <alignment horizontal="left"/>
    </xf>
    <xf numFmtId="41" fontId="5" fillId="0" borderId="0" xfId="16" applyFont="1" applyFill="1" applyBorder="1" applyAlignment="1" applyProtection="1">
      <alignment horizontal="center"/>
      <protection locked="0"/>
    </xf>
    <xf numFmtId="41" fontId="5" fillId="0" borderId="0" xfId="16" applyFont="1" applyFill="1" applyProtection="1">
      <protection locked="0"/>
    </xf>
    <xf numFmtId="41" fontId="5" fillId="0" borderId="1" xfId="16" applyFont="1" applyFill="1" applyBorder="1" applyAlignment="1">
      <alignment horizontal="center"/>
    </xf>
    <xf numFmtId="41" fontId="5" fillId="0" borderId="0" xfId="16" applyFont="1" applyFill="1"/>
    <xf numFmtId="41" fontId="5" fillId="0" borderId="0" xfId="16" applyFont="1" applyFill="1" applyBorder="1" applyProtection="1"/>
    <xf numFmtId="41" fontId="6" fillId="0" borderId="0" xfId="16" applyFont="1" applyFill="1" applyBorder="1" applyProtection="1"/>
    <xf numFmtId="165" fontId="6" fillId="0" borderId="0" xfId="15" applyNumberFormat="1" applyFont="1" applyFill="1" applyBorder="1" applyAlignment="1">
      <alignment horizontal="center"/>
    </xf>
    <xf numFmtId="165" fontId="6" fillId="0" borderId="0" xfId="15" applyNumberFormat="1" applyFont="1" applyBorder="1" applyAlignment="1">
      <alignment horizontal="center"/>
    </xf>
    <xf numFmtId="41" fontId="5" fillId="0" borderId="0" xfId="0" applyNumberFormat="1" applyFont="1"/>
    <xf numFmtId="1" fontId="30" fillId="5" borderId="0" xfId="0" applyNumberFormat="1" applyFont="1" applyFill="1" applyAlignment="1">
      <alignment horizontal="center"/>
    </xf>
    <xf numFmtId="14" fontId="30" fillId="5" borderId="0" xfId="0" applyNumberFormat="1" applyFont="1" applyFill="1" applyAlignment="1" applyProtection="1">
      <alignment horizontal="center"/>
      <protection locked="0"/>
    </xf>
    <xf numFmtId="1" fontId="6" fillId="5" borderId="0" xfId="0" applyNumberFormat="1" applyFont="1" applyFill="1" applyAlignment="1">
      <alignment horizontal="center" vertical="top"/>
    </xf>
    <xf numFmtId="15" fontId="19" fillId="5" borderId="35" xfId="0" applyNumberFormat="1" applyFont="1" applyFill="1" applyBorder="1" applyAlignment="1" applyProtection="1">
      <alignment horizontal="center"/>
      <protection locked="0"/>
    </xf>
    <xf numFmtId="49" fontId="30" fillId="5" borderId="0" xfId="0" applyNumberFormat="1" applyFont="1" applyFill="1" applyAlignment="1" applyProtection="1">
      <alignment horizontal="center"/>
      <protection locked="0"/>
    </xf>
    <xf numFmtId="0" fontId="20" fillId="2" borderId="45" xfId="0" applyFont="1" applyFill="1" applyBorder="1"/>
    <xf numFmtId="0" fontId="19" fillId="2" borderId="46" xfId="0" quotePrefix="1" applyFont="1" applyFill="1" applyBorder="1" applyAlignment="1">
      <alignment horizontal="center"/>
    </xf>
    <xf numFmtId="0" fontId="19" fillId="2" borderId="47" xfId="0" quotePrefix="1" applyFont="1" applyFill="1" applyBorder="1" applyAlignment="1">
      <alignment horizontal="center"/>
    </xf>
    <xf numFmtId="166" fontId="19" fillId="2" borderId="16" xfId="22" applyNumberFormat="1" applyFont="1" applyFill="1" applyBorder="1" applyAlignment="1">
      <alignment horizontal="center"/>
    </xf>
    <xf numFmtId="166" fontId="19" fillId="2" borderId="0" xfId="22" applyNumberFormat="1" applyFont="1" applyFill="1" applyAlignment="1">
      <alignment horizontal="center"/>
    </xf>
    <xf numFmtId="166" fontId="19" fillId="2" borderId="26" xfId="22" applyNumberFormat="1" applyFont="1" applyFill="1" applyBorder="1" applyAlignment="1">
      <alignment horizontal="center"/>
    </xf>
    <xf numFmtId="166" fontId="19" fillId="0" borderId="37" xfId="0" applyNumberFormat="1" applyFont="1" applyBorder="1" applyAlignment="1">
      <alignment horizontal="center"/>
    </xf>
    <xf numFmtId="166" fontId="19" fillId="0" borderId="32" xfId="0" applyNumberFormat="1" applyFont="1" applyBorder="1" applyAlignment="1">
      <alignment horizontal="center"/>
    </xf>
    <xf numFmtId="166" fontId="19" fillId="0" borderId="38" xfId="0" applyNumberFormat="1" applyFont="1" applyBorder="1" applyAlignment="1">
      <alignment horizontal="center"/>
    </xf>
    <xf numFmtId="0" fontId="19" fillId="0" borderId="14" xfId="0" applyFont="1" applyBorder="1" applyAlignment="1">
      <alignment horizontal="center"/>
    </xf>
    <xf numFmtId="0" fontId="19" fillId="0" borderId="39" xfId="0" applyFont="1" applyBorder="1" applyAlignment="1">
      <alignment horizontal="center"/>
    </xf>
    <xf numFmtId="0" fontId="19" fillId="0" borderId="40" xfId="0" applyFont="1" applyBorder="1" applyAlignment="1">
      <alignment horizontal="center"/>
    </xf>
    <xf numFmtId="166" fontId="19" fillId="0" borderId="41" xfId="0" applyNumberFormat="1" applyFont="1" applyBorder="1" applyAlignment="1">
      <alignment horizontal="center"/>
    </xf>
    <xf numFmtId="166" fontId="19" fillId="3" borderId="16" xfId="0" applyNumberFormat="1" applyFont="1" applyFill="1" applyBorder="1" applyAlignment="1">
      <alignment horizontal="left"/>
    </xf>
    <xf numFmtId="166" fontId="19" fillId="3" borderId="0" xfId="0" applyNumberFormat="1" applyFont="1" applyFill="1" applyAlignment="1">
      <alignment horizontal="left"/>
    </xf>
    <xf numFmtId="166" fontId="19" fillId="0" borderId="42" xfId="0" applyNumberFormat="1" applyFont="1" applyBorder="1" applyAlignment="1">
      <alignment horizontal="center"/>
    </xf>
    <xf numFmtId="166" fontId="19" fillId="0" borderId="29" xfId="0" applyNumberFormat="1" applyFont="1" applyBorder="1" applyAlignment="1">
      <alignment horizontal="center"/>
    </xf>
    <xf numFmtId="166" fontId="19" fillId="0" borderId="43" xfId="0" applyNumberFormat="1" applyFont="1" applyBorder="1" applyAlignment="1">
      <alignment horizontal="center"/>
    </xf>
    <xf numFmtId="166" fontId="19" fillId="0" borderId="36" xfId="0" applyNumberFormat="1" applyFont="1" applyBorder="1" applyAlignment="1">
      <alignment horizontal="center"/>
    </xf>
    <xf numFmtId="166" fontId="19" fillId="0" borderId="24" xfId="0" applyNumberFormat="1" applyFont="1" applyBorder="1" applyAlignment="1">
      <alignment horizontal="center"/>
    </xf>
    <xf numFmtId="0" fontId="4" fillId="0" borderId="37" xfId="0" applyFont="1" applyBorder="1" applyAlignment="1">
      <alignment horizontal="center"/>
    </xf>
    <xf numFmtId="0" fontId="4" fillId="0" borderId="38" xfId="0" applyFont="1" applyBorder="1" applyAlignment="1">
      <alignment horizontal="center"/>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18" xfId="0" applyBorder="1" applyAlignment="1">
      <alignment horizontal="center" vertical="center" wrapText="1"/>
    </xf>
    <xf numFmtId="0" fontId="0" fillId="0" borderId="20" xfId="0" applyBorder="1" applyAlignment="1">
      <alignment horizontal="center" vertical="center" wrapText="1"/>
    </xf>
    <xf numFmtId="0" fontId="0" fillId="0" borderId="25" xfId="0" applyBorder="1" applyAlignment="1">
      <alignment horizontal="center" vertical="center" wrapText="1"/>
    </xf>
    <xf numFmtId="0" fontId="0" fillId="0" borderId="36" xfId="0" applyBorder="1" applyAlignment="1">
      <alignment horizontal="center" vertical="center" wrapText="1"/>
    </xf>
    <xf numFmtId="0" fontId="4" fillId="0" borderId="1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left"/>
    </xf>
    <xf numFmtId="0" fontId="4" fillId="0" borderId="8" xfId="0" applyFont="1" applyBorder="1" applyAlignment="1">
      <alignment horizontal="left"/>
    </xf>
    <xf numFmtId="0" fontId="4" fillId="0" borderId="9" xfId="0" applyFont="1" applyBorder="1" applyAlignment="1">
      <alignment horizontal="left"/>
    </xf>
    <xf numFmtId="0" fontId="4" fillId="0" borderId="11" xfId="0" applyFont="1" applyBorder="1" applyAlignment="1">
      <alignment horizontal="left"/>
    </xf>
    <xf numFmtId="0" fontId="0" fillId="0" borderId="24" xfId="0" applyBorder="1" applyAlignment="1">
      <alignment horizontal="center" vertical="center" wrapText="1"/>
    </xf>
    <xf numFmtId="0" fontId="25" fillId="0" borderId="24" xfId="0" applyFont="1" applyBorder="1" applyAlignment="1">
      <alignment horizontal="center" vertical="center" wrapText="1"/>
    </xf>
    <xf numFmtId="0" fontId="25" fillId="0" borderId="24" xfId="0" applyFont="1" applyBorder="1" applyAlignment="1">
      <alignment horizontal="center" wrapText="1"/>
    </xf>
    <xf numFmtId="0" fontId="24" fillId="2" borderId="24" xfId="0" applyFont="1" applyFill="1" applyBorder="1" applyAlignment="1">
      <alignment horizontal="center"/>
    </xf>
    <xf numFmtId="0" fontId="3" fillId="0" borderId="14" xfId="0" applyFont="1" applyBorder="1" applyAlignment="1">
      <alignment horizontal="left"/>
    </xf>
    <xf numFmtId="0" fontId="0" fillId="0" borderId="17" xfId="0" applyBorder="1" applyAlignment="1">
      <alignment horizontal="left"/>
    </xf>
    <xf numFmtId="164" fontId="0" fillId="0" borderId="5" xfId="0" applyNumberFormat="1" applyBorder="1" applyAlignment="1">
      <alignment horizontal="center" vertical="center" wrapText="1"/>
    </xf>
    <xf numFmtId="0" fontId="0" fillId="0" borderId="22" xfId="0"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8" xfId="0" applyFont="1" applyBorder="1" applyAlignment="1">
      <alignment horizontal="center" vertical="center" wrapText="1"/>
    </xf>
    <xf numFmtId="0" fontId="3" fillId="0" borderId="6" xfId="0" applyFont="1" applyBorder="1" applyAlignment="1">
      <alignment horizontal="left"/>
    </xf>
    <xf numFmtId="0" fontId="0" fillId="0" borderId="31" xfId="0" applyBorder="1" applyAlignment="1">
      <alignment horizontal="left"/>
    </xf>
    <xf numFmtId="4" fontId="0" fillId="0" borderId="44" xfId="0" applyNumberFormat="1" applyBorder="1" applyAlignment="1">
      <alignment horizontal="right"/>
    </xf>
    <xf numFmtId="0" fontId="0" fillId="0" borderId="21" xfId="0" applyBorder="1" applyAlignment="1">
      <alignment horizontal="right"/>
    </xf>
    <xf numFmtId="0" fontId="4" fillId="0" borderId="25" xfId="0" applyFont="1" applyBorder="1" applyAlignment="1">
      <alignment horizontal="left"/>
    </xf>
    <xf numFmtId="0" fontId="4" fillId="0" borderId="36" xfId="0" applyFont="1" applyBorder="1" applyAlignment="1">
      <alignment horizontal="left"/>
    </xf>
    <xf numFmtId="0" fontId="0" fillId="0" borderId="39" xfId="0" applyBorder="1" applyAlignment="1">
      <alignment horizontal="center"/>
    </xf>
    <xf numFmtId="0" fontId="0" fillId="0" borderId="8" xfId="0" applyBorder="1" applyAlignment="1">
      <alignment horizontal="center"/>
    </xf>
    <xf numFmtId="0" fontId="27" fillId="0" borderId="24" xfId="0" applyFont="1" applyBorder="1" applyAlignment="1">
      <alignment horizontal="left" vertical="center" wrapText="1"/>
    </xf>
    <xf numFmtId="0" fontId="25" fillId="0" borderId="18" xfId="0" applyFont="1" applyBorder="1" applyAlignment="1">
      <alignment horizontal="left" vertical="center"/>
    </xf>
    <xf numFmtId="0" fontId="25" fillId="0" borderId="20" xfId="0" applyFont="1" applyBorder="1" applyAlignment="1">
      <alignment horizontal="left" vertical="center"/>
    </xf>
    <xf numFmtId="0" fontId="27" fillId="0" borderId="24" xfId="0" applyFont="1" applyBorder="1" applyAlignment="1">
      <alignment horizontal="center" vertical="center" wrapText="1"/>
    </xf>
    <xf numFmtId="0" fontId="25" fillId="0" borderId="10" xfId="0" applyFont="1" applyBorder="1" applyAlignment="1">
      <alignment horizontal="center" wrapText="1"/>
    </xf>
    <xf numFmtId="0" fontId="25" fillId="0" borderId="8" xfId="0" applyFont="1" applyBorder="1" applyAlignment="1">
      <alignment horizontal="center" wrapText="1"/>
    </xf>
    <xf numFmtId="0" fontId="25" fillId="0" borderId="9" xfId="0" applyFont="1" applyBorder="1" applyAlignment="1">
      <alignment horizontal="center" wrapText="1"/>
    </xf>
    <xf numFmtId="0" fontId="25" fillId="0" borderId="11" xfId="0" applyFont="1" applyBorder="1" applyAlignment="1">
      <alignment horizontal="center" wrapText="1"/>
    </xf>
  </cellXfs>
  <cellStyles count="33">
    <cellStyle name="Comma" xfId="1" xr:uid="{00000000-0005-0000-0000-000000000000}"/>
    <cellStyle name="Currency" xfId="2" xr:uid="{00000000-0005-0000-0000-000001000000}"/>
    <cellStyle name="Date" xfId="3" xr:uid="{00000000-0005-0000-0000-000002000000}"/>
    <cellStyle name="Euro" xfId="4" xr:uid="{00000000-0005-0000-0000-000003000000}"/>
    <cellStyle name="F2" xfId="5" xr:uid="{00000000-0005-0000-0000-000004000000}"/>
    <cellStyle name="F3" xfId="6" xr:uid="{00000000-0005-0000-0000-000005000000}"/>
    <cellStyle name="F4" xfId="7" xr:uid="{00000000-0005-0000-0000-000006000000}"/>
    <cellStyle name="F5" xfId="8" xr:uid="{00000000-0005-0000-0000-000007000000}"/>
    <cellStyle name="F6" xfId="9" xr:uid="{00000000-0005-0000-0000-000008000000}"/>
    <cellStyle name="F7" xfId="10" xr:uid="{00000000-0005-0000-0000-000009000000}"/>
    <cellStyle name="F8" xfId="11" xr:uid="{00000000-0005-0000-0000-00000A000000}"/>
    <cellStyle name="Fixed" xfId="12" xr:uid="{00000000-0005-0000-0000-00000B000000}"/>
    <cellStyle name="Heading1" xfId="13" xr:uid="{00000000-0005-0000-0000-00000C000000}"/>
    <cellStyle name="Heading2" xfId="14" xr:uid="{00000000-0005-0000-0000-00000D000000}"/>
    <cellStyle name="Millares" xfId="15" builtinId="3"/>
    <cellStyle name="Millares [0]" xfId="16" builtinId="6"/>
    <cellStyle name="Millares [0] 2" xfId="17" xr:uid="{00000000-0005-0000-0000-000010000000}"/>
    <cellStyle name="Millares [0] 3" xfId="31" xr:uid="{3A64321A-ADF6-4083-8944-C6B85118A8B3}"/>
    <cellStyle name="Millares 11" xfId="18" xr:uid="{00000000-0005-0000-0000-000011000000}"/>
    <cellStyle name="Millares 2" xfId="19" xr:uid="{00000000-0005-0000-0000-000012000000}"/>
    <cellStyle name="Millares 3" xfId="30" xr:uid="{447AF893-E3D0-401E-9862-566D0144F2D0}"/>
    <cellStyle name="Millares 4" xfId="32" xr:uid="{58B0B53F-2B03-4D08-BD9A-F1C1DB3B338F}"/>
    <cellStyle name="Millares 9" xfId="20" xr:uid="{00000000-0005-0000-0000-000013000000}"/>
    <cellStyle name="Normal" xfId="0" builtinId="0"/>
    <cellStyle name="Normal 12" xfId="21" xr:uid="{00000000-0005-0000-0000-000015000000}"/>
    <cellStyle name="Normal 2" xfId="22" xr:uid="{00000000-0005-0000-0000-000016000000}"/>
    <cellStyle name="Normal 20" xfId="23" xr:uid="{00000000-0005-0000-0000-000017000000}"/>
    <cellStyle name="Normal 3" xfId="24" xr:uid="{00000000-0005-0000-0000-000018000000}"/>
    <cellStyle name="Normal 4" xfId="25" xr:uid="{00000000-0005-0000-0000-000019000000}"/>
    <cellStyle name="Normal 5" xfId="26" xr:uid="{00000000-0005-0000-0000-00001A000000}"/>
    <cellStyle name="Normal 6" xfId="29" xr:uid="{6FE7F09B-1B03-4C31-9C67-CF5DF83EE093}"/>
    <cellStyle name="Percent" xfId="27" xr:uid="{00000000-0005-0000-0000-00001B000000}"/>
    <cellStyle name="Porcentaje" xfId="28"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hartsheet" Target="chartsheets/sheet2.xml"/><Relationship Id="rId11" Type="http://schemas.openxmlformats.org/officeDocument/2006/relationships/styles" Target="styles.xml"/><Relationship Id="rId5" Type="http://schemas.openxmlformats.org/officeDocument/2006/relationships/chartsheet" Target="chartsheets/sheet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424242"/>
                </a:solidFill>
                <a:latin typeface="Calibri"/>
                <a:ea typeface="Calibri"/>
                <a:cs typeface="Calibri"/>
              </a:defRPr>
            </a:pPr>
            <a:r>
              <a:rPr lang="es-CO"/>
              <a:t>CUENTAS BALANCES 2017 A 2023</a:t>
            </a:r>
          </a:p>
        </c:rich>
      </c:tx>
      <c:overlay val="0"/>
      <c:spPr>
        <a:noFill/>
        <a:ln w="25400">
          <a:noFill/>
        </a:ln>
      </c:spPr>
    </c:title>
    <c:autoTitleDeleted val="0"/>
    <c:plotArea>
      <c:layout/>
      <c:barChart>
        <c:barDir val="col"/>
        <c:grouping val="clustered"/>
        <c:varyColors val="0"/>
        <c:ser>
          <c:idx val="0"/>
          <c:order val="0"/>
          <c:tx>
            <c:strRef>
              <c:f>'ANALISIS FINANCIERO ESE'!$B$115</c:f>
              <c:strCache>
                <c:ptCount val="1"/>
                <c:pt idx="0">
                  <c:v>ACTIVO</c:v>
                </c:pt>
              </c:strCache>
            </c:strRef>
          </c:tx>
          <c:spPr>
            <a:solidFill>
              <a:srgbClr val="4F81BD"/>
            </a:solidFill>
            <a:ln w="25400">
              <a:noFill/>
            </a:ln>
          </c:spPr>
          <c:invertIfNegative val="0"/>
          <c:cat>
            <c:numRef>
              <c:f>'ANALISIS FINANCIERO ESE'!$C$114:$I$114</c:f>
              <c:numCache>
                <c:formatCode>General</c:formatCode>
                <c:ptCount val="7"/>
                <c:pt idx="0">
                  <c:v>2017</c:v>
                </c:pt>
                <c:pt idx="1">
                  <c:v>2018</c:v>
                </c:pt>
                <c:pt idx="2">
                  <c:v>2019</c:v>
                </c:pt>
                <c:pt idx="3">
                  <c:v>2020</c:v>
                </c:pt>
                <c:pt idx="4">
                  <c:v>2021</c:v>
                </c:pt>
                <c:pt idx="5">
                  <c:v>2022</c:v>
                </c:pt>
                <c:pt idx="6">
                  <c:v>2023</c:v>
                </c:pt>
              </c:numCache>
            </c:numRef>
          </c:cat>
          <c:val>
            <c:numRef>
              <c:f>'ANALISIS FINANCIERO ESE'!$C$115:$I$115</c:f>
              <c:numCache>
                <c:formatCode>_-* #,##0_-;\-* #,##0_-;_-* "-"??_-;_-@_-</c:formatCode>
                <c:ptCount val="7"/>
                <c:pt idx="0">
                  <c:v>19405403664</c:v>
                </c:pt>
                <c:pt idx="1">
                  <c:v>28301772859</c:v>
                </c:pt>
                <c:pt idx="2">
                  <c:v>51955687995</c:v>
                </c:pt>
                <c:pt idx="3">
                  <c:v>53701212852</c:v>
                </c:pt>
                <c:pt idx="4">
                  <c:v>66547895066</c:v>
                </c:pt>
                <c:pt idx="5">
                  <c:v>79252393760</c:v>
                </c:pt>
                <c:pt idx="6">
                  <c:v>106763260658.58</c:v>
                </c:pt>
              </c:numCache>
            </c:numRef>
          </c:val>
          <c:extLst>
            <c:ext xmlns:c16="http://schemas.microsoft.com/office/drawing/2014/chart" uri="{C3380CC4-5D6E-409C-BE32-E72D297353CC}">
              <c16:uniqueId val="{00000000-09EA-434B-A847-799EBDF228E3}"/>
            </c:ext>
          </c:extLst>
        </c:ser>
        <c:ser>
          <c:idx val="1"/>
          <c:order val="1"/>
          <c:tx>
            <c:strRef>
              <c:f>'ANALISIS FINANCIERO ESE'!$B$116</c:f>
              <c:strCache>
                <c:ptCount val="1"/>
                <c:pt idx="0">
                  <c:v>PASIVO</c:v>
                </c:pt>
              </c:strCache>
            </c:strRef>
          </c:tx>
          <c:spPr>
            <a:solidFill>
              <a:srgbClr val="C0504D"/>
            </a:solidFill>
            <a:ln w="25400">
              <a:noFill/>
            </a:ln>
          </c:spPr>
          <c:invertIfNegative val="0"/>
          <c:cat>
            <c:numRef>
              <c:f>'ANALISIS FINANCIERO ESE'!$C$114:$I$114</c:f>
              <c:numCache>
                <c:formatCode>General</c:formatCode>
                <c:ptCount val="7"/>
                <c:pt idx="0">
                  <c:v>2017</c:v>
                </c:pt>
                <c:pt idx="1">
                  <c:v>2018</c:v>
                </c:pt>
                <c:pt idx="2">
                  <c:v>2019</c:v>
                </c:pt>
                <c:pt idx="3">
                  <c:v>2020</c:v>
                </c:pt>
                <c:pt idx="4">
                  <c:v>2021</c:v>
                </c:pt>
                <c:pt idx="5">
                  <c:v>2022</c:v>
                </c:pt>
                <c:pt idx="6">
                  <c:v>2023</c:v>
                </c:pt>
              </c:numCache>
            </c:numRef>
          </c:cat>
          <c:val>
            <c:numRef>
              <c:f>'ANALISIS FINANCIERO ESE'!$C$116:$I$116</c:f>
              <c:numCache>
                <c:formatCode>_-* #,##0_-;\-* #,##0_-;_-* "-"??_-;_-@_-</c:formatCode>
                <c:ptCount val="7"/>
                <c:pt idx="0">
                  <c:v>4167357020</c:v>
                </c:pt>
                <c:pt idx="1">
                  <c:v>7594678230</c:v>
                </c:pt>
                <c:pt idx="2">
                  <c:v>5405538017</c:v>
                </c:pt>
                <c:pt idx="3">
                  <c:v>4834832093</c:v>
                </c:pt>
                <c:pt idx="4">
                  <c:v>3848561327</c:v>
                </c:pt>
                <c:pt idx="5">
                  <c:v>5176855796</c:v>
                </c:pt>
                <c:pt idx="6">
                  <c:v>7132839443.7600002</c:v>
                </c:pt>
              </c:numCache>
            </c:numRef>
          </c:val>
          <c:extLst>
            <c:ext xmlns:c16="http://schemas.microsoft.com/office/drawing/2014/chart" uri="{C3380CC4-5D6E-409C-BE32-E72D297353CC}">
              <c16:uniqueId val="{00000001-09EA-434B-A847-799EBDF228E3}"/>
            </c:ext>
          </c:extLst>
        </c:ser>
        <c:ser>
          <c:idx val="2"/>
          <c:order val="2"/>
          <c:tx>
            <c:strRef>
              <c:f>'ANALISIS FINANCIERO ESE'!$B$117</c:f>
              <c:strCache>
                <c:ptCount val="1"/>
                <c:pt idx="0">
                  <c:v>PATRIMONIO</c:v>
                </c:pt>
              </c:strCache>
            </c:strRef>
          </c:tx>
          <c:spPr>
            <a:solidFill>
              <a:srgbClr val="9BBB59"/>
            </a:solidFill>
            <a:ln w="25400">
              <a:noFill/>
            </a:ln>
          </c:spPr>
          <c:invertIfNegative val="0"/>
          <c:cat>
            <c:numRef>
              <c:f>'ANALISIS FINANCIERO ESE'!$C$114:$I$114</c:f>
              <c:numCache>
                <c:formatCode>General</c:formatCode>
                <c:ptCount val="7"/>
                <c:pt idx="0">
                  <c:v>2017</c:v>
                </c:pt>
                <c:pt idx="1">
                  <c:v>2018</c:v>
                </c:pt>
                <c:pt idx="2">
                  <c:v>2019</c:v>
                </c:pt>
                <c:pt idx="3">
                  <c:v>2020</c:v>
                </c:pt>
                <c:pt idx="4">
                  <c:v>2021</c:v>
                </c:pt>
                <c:pt idx="5">
                  <c:v>2022</c:v>
                </c:pt>
                <c:pt idx="6">
                  <c:v>2023</c:v>
                </c:pt>
              </c:numCache>
            </c:numRef>
          </c:cat>
          <c:val>
            <c:numRef>
              <c:f>'ANALISIS FINANCIERO ESE'!$C$117:$I$117</c:f>
              <c:numCache>
                <c:formatCode>_-* #,##0_-;\-* #,##0_-;_-* "-"??_-;_-@_-</c:formatCode>
                <c:ptCount val="7"/>
                <c:pt idx="0">
                  <c:v>15238046644</c:v>
                </c:pt>
                <c:pt idx="1">
                  <c:v>20707094629</c:v>
                </c:pt>
                <c:pt idx="2">
                  <c:v>46550149978</c:v>
                </c:pt>
                <c:pt idx="3">
                  <c:v>48866380759</c:v>
                </c:pt>
                <c:pt idx="4">
                  <c:v>62699333739</c:v>
                </c:pt>
                <c:pt idx="5">
                  <c:v>74075537964</c:v>
                </c:pt>
                <c:pt idx="6">
                  <c:v>99630421215.080017</c:v>
                </c:pt>
              </c:numCache>
            </c:numRef>
          </c:val>
          <c:extLst>
            <c:ext xmlns:c16="http://schemas.microsoft.com/office/drawing/2014/chart" uri="{C3380CC4-5D6E-409C-BE32-E72D297353CC}">
              <c16:uniqueId val="{00000002-09EA-434B-A847-799EBDF228E3}"/>
            </c:ext>
          </c:extLst>
        </c:ser>
        <c:dLbls>
          <c:showLegendKey val="0"/>
          <c:showVal val="0"/>
          <c:showCatName val="0"/>
          <c:showSerName val="0"/>
          <c:showPercent val="0"/>
          <c:showBubbleSize val="0"/>
        </c:dLbls>
        <c:gapWidth val="150"/>
        <c:axId val="-31959584"/>
        <c:axId val="-356273392"/>
      </c:barChart>
      <c:catAx>
        <c:axId val="-31959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424242"/>
                </a:solidFill>
                <a:latin typeface="Calibri"/>
                <a:ea typeface="Calibri"/>
                <a:cs typeface="Calibri"/>
              </a:defRPr>
            </a:pPr>
            <a:endParaRPr lang="es-MX"/>
          </a:p>
        </c:txPr>
        <c:crossAx val="-356273392"/>
        <c:crosses val="autoZero"/>
        <c:auto val="1"/>
        <c:lblAlgn val="ctr"/>
        <c:lblOffset val="100"/>
        <c:noMultiLvlLbl val="0"/>
      </c:catAx>
      <c:valAx>
        <c:axId val="-356273392"/>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sz="1000" b="1" i="0" u="none" strike="noStrike" baseline="0">
                    <a:solidFill>
                      <a:srgbClr val="424242"/>
                    </a:solidFill>
                    <a:latin typeface="Calibri"/>
                    <a:ea typeface="Calibri"/>
                    <a:cs typeface="Calibri"/>
                  </a:defRPr>
                </a:pPr>
                <a:r>
                  <a:rPr lang="es-CO"/>
                  <a:t>Pesos ($)</a:t>
                </a:r>
              </a:p>
            </c:rich>
          </c:tx>
          <c:overlay val="0"/>
          <c:spPr>
            <a:noFill/>
            <a:ln w="25400">
              <a:noFill/>
            </a:ln>
          </c:spPr>
        </c:title>
        <c:numFmt formatCode="_-* #,##0_-;\-* #,##0_-;_-* &quot;-&quot;??_-;_-@_-" sourceLinked="1"/>
        <c:majorTickMark val="none"/>
        <c:minorTickMark val="none"/>
        <c:tickLblPos val="nextTo"/>
        <c:spPr>
          <a:ln w="9525">
            <a:noFill/>
          </a:ln>
        </c:spPr>
        <c:txPr>
          <a:bodyPr rot="0" vert="horz"/>
          <a:lstStyle/>
          <a:p>
            <a:pPr>
              <a:defRPr sz="900" b="0" i="0" u="none" strike="noStrike" baseline="0">
                <a:solidFill>
                  <a:srgbClr val="424242"/>
                </a:solidFill>
                <a:latin typeface="Calibri"/>
                <a:ea typeface="Calibri"/>
                <a:cs typeface="Calibri"/>
              </a:defRPr>
            </a:pPr>
            <a:endParaRPr lang="es-MX"/>
          </a:p>
        </c:txPr>
        <c:crossAx val="-3195958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a:lstStyle/>
          <a:p>
            <a:pPr rtl="0">
              <a:defRPr sz="900" b="0" i="0" u="none" strike="noStrike" baseline="0">
                <a:solidFill>
                  <a:srgbClr val="424242"/>
                </a:solidFill>
                <a:latin typeface="Calibri"/>
                <a:ea typeface="Calibri"/>
                <a:cs typeface="Calibri"/>
              </a:defRPr>
            </a:pPr>
            <a:endParaRPr lang="es-MX"/>
          </a:p>
        </c:txPr>
      </c:dTable>
      <c:spPr>
        <a:noFill/>
        <a:ln>
          <a:solidFill>
            <a:schemeClr val="accent1"/>
          </a:solid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es-MX"/>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424242"/>
                </a:solidFill>
                <a:latin typeface="Calibri"/>
                <a:ea typeface="Calibri"/>
                <a:cs typeface="Calibri"/>
              </a:defRPr>
            </a:pPr>
            <a:r>
              <a:rPr lang="es-CO"/>
              <a:t>ESTADO DE RESULTADOS 2017 A 2023</a:t>
            </a:r>
          </a:p>
        </c:rich>
      </c:tx>
      <c:layout>
        <c:manualLayout>
          <c:xMode val="edge"/>
          <c:yMode val="edge"/>
          <c:x val="0.30127069325531292"/>
          <c:y val="1.6729222873260494E-2"/>
        </c:manualLayout>
      </c:layout>
      <c:overlay val="0"/>
      <c:spPr>
        <a:noFill/>
        <a:ln w="25400">
          <a:noFill/>
        </a:ln>
      </c:spPr>
    </c:title>
    <c:autoTitleDeleted val="0"/>
    <c:plotArea>
      <c:layout/>
      <c:barChart>
        <c:barDir val="col"/>
        <c:grouping val="clustered"/>
        <c:varyColors val="0"/>
        <c:ser>
          <c:idx val="0"/>
          <c:order val="0"/>
          <c:tx>
            <c:strRef>
              <c:f>'ANALISIS FINANCIERO ESE'!$B$120</c:f>
              <c:strCache>
                <c:ptCount val="1"/>
                <c:pt idx="0">
                  <c:v>TOTAL INGRESOS </c:v>
                </c:pt>
              </c:strCache>
            </c:strRef>
          </c:tx>
          <c:spPr>
            <a:solidFill>
              <a:srgbClr val="4F81BD"/>
            </a:solidFill>
            <a:ln w="25400">
              <a:noFill/>
            </a:ln>
          </c:spPr>
          <c:invertIfNegative val="0"/>
          <c:cat>
            <c:numRef>
              <c:f>'ANALISIS FINANCIERO ESE'!$C$119:$I$119</c:f>
              <c:numCache>
                <c:formatCode>General</c:formatCode>
                <c:ptCount val="7"/>
                <c:pt idx="0">
                  <c:v>2017</c:v>
                </c:pt>
                <c:pt idx="1">
                  <c:v>2018</c:v>
                </c:pt>
                <c:pt idx="2">
                  <c:v>2019</c:v>
                </c:pt>
                <c:pt idx="3">
                  <c:v>2020</c:v>
                </c:pt>
                <c:pt idx="4">
                  <c:v>2021</c:v>
                </c:pt>
                <c:pt idx="5">
                  <c:v>2022</c:v>
                </c:pt>
                <c:pt idx="6">
                  <c:v>2023</c:v>
                </c:pt>
              </c:numCache>
            </c:numRef>
          </c:cat>
          <c:val>
            <c:numRef>
              <c:f>'ANALISIS FINANCIERO ESE'!$C$120:$I$120</c:f>
              <c:numCache>
                <c:formatCode>_-* #,##0_-;\-* #,##0_-;_-* "-"??_-;_-@_-</c:formatCode>
                <c:ptCount val="7"/>
                <c:pt idx="0">
                  <c:v>11860540407</c:v>
                </c:pt>
                <c:pt idx="1">
                  <c:v>18119757265</c:v>
                </c:pt>
                <c:pt idx="2">
                  <c:v>41813400657</c:v>
                </c:pt>
                <c:pt idx="3">
                  <c:v>19739544392</c:v>
                </c:pt>
                <c:pt idx="4">
                  <c:v>38836320744</c:v>
                </c:pt>
                <c:pt idx="5">
                  <c:v>52137426360.580002</c:v>
                </c:pt>
                <c:pt idx="6">
                  <c:v>51070419234.379997</c:v>
                </c:pt>
              </c:numCache>
            </c:numRef>
          </c:val>
          <c:extLst>
            <c:ext xmlns:c16="http://schemas.microsoft.com/office/drawing/2014/chart" uri="{C3380CC4-5D6E-409C-BE32-E72D297353CC}">
              <c16:uniqueId val="{00000000-89D5-48C5-A84E-F3C12D07CB8A}"/>
            </c:ext>
          </c:extLst>
        </c:ser>
        <c:ser>
          <c:idx val="1"/>
          <c:order val="1"/>
          <c:tx>
            <c:strRef>
              <c:f>'ANALISIS FINANCIERO ESE'!$B$121</c:f>
              <c:strCache>
                <c:ptCount val="1"/>
                <c:pt idx="0">
                  <c:v>TOTAL GASTOS</c:v>
                </c:pt>
              </c:strCache>
            </c:strRef>
          </c:tx>
          <c:spPr>
            <a:solidFill>
              <a:srgbClr val="C0504D"/>
            </a:solidFill>
            <a:ln w="25400">
              <a:noFill/>
            </a:ln>
          </c:spPr>
          <c:invertIfNegative val="0"/>
          <c:cat>
            <c:numRef>
              <c:f>'ANALISIS FINANCIERO ESE'!$C$119:$I$119</c:f>
              <c:numCache>
                <c:formatCode>General</c:formatCode>
                <c:ptCount val="7"/>
                <c:pt idx="0">
                  <c:v>2017</c:v>
                </c:pt>
                <c:pt idx="1">
                  <c:v>2018</c:v>
                </c:pt>
                <c:pt idx="2">
                  <c:v>2019</c:v>
                </c:pt>
                <c:pt idx="3">
                  <c:v>2020</c:v>
                </c:pt>
                <c:pt idx="4">
                  <c:v>2021</c:v>
                </c:pt>
                <c:pt idx="5">
                  <c:v>2022</c:v>
                </c:pt>
                <c:pt idx="6">
                  <c:v>2023</c:v>
                </c:pt>
              </c:numCache>
            </c:numRef>
          </c:cat>
          <c:val>
            <c:numRef>
              <c:f>'ANALISIS FINANCIERO ESE'!$C$121:$I$121</c:f>
              <c:numCache>
                <c:formatCode>_-* #,##0_-;\-* #,##0_-;_-* "-"??_-;_-@_-</c:formatCode>
                <c:ptCount val="7"/>
                <c:pt idx="0">
                  <c:v>12658329982</c:v>
                </c:pt>
                <c:pt idx="1">
                  <c:v>12746617161</c:v>
                </c:pt>
                <c:pt idx="2">
                  <c:v>18171565400</c:v>
                </c:pt>
                <c:pt idx="3">
                  <c:v>17243815026</c:v>
                </c:pt>
                <c:pt idx="4">
                  <c:v>25514638240</c:v>
                </c:pt>
                <c:pt idx="5">
                  <c:v>40522626296.580002</c:v>
                </c:pt>
                <c:pt idx="6">
                  <c:v>31852321062.559998</c:v>
                </c:pt>
              </c:numCache>
            </c:numRef>
          </c:val>
          <c:extLst>
            <c:ext xmlns:c16="http://schemas.microsoft.com/office/drawing/2014/chart" uri="{C3380CC4-5D6E-409C-BE32-E72D297353CC}">
              <c16:uniqueId val="{00000001-89D5-48C5-A84E-F3C12D07CB8A}"/>
            </c:ext>
          </c:extLst>
        </c:ser>
        <c:dLbls>
          <c:showLegendKey val="0"/>
          <c:showVal val="0"/>
          <c:showCatName val="0"/>
          <c:showSerName val="0"/>
          <c:showPercent val="0"/>
          <c:showBubbleSize val="0"/>
        </c:dLbls>
        <c:gapWidth val="150"/>
        <c:axId val="-157813280"/>
        <c:axId val="-1259288432"/>
      </c:barChart>
      <c:catAx>
        <c:axId val="-157813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424242"/>
                </a:solidFill>
                <a:latin typeface="Calibri"/>
                <a:ea typeface="Calibri"/>
                <a:cs typeface="Calibri"/>
              </a:defRPr>
            </a:pPr>
            <a:endParaRPr lang="es-MX"/>
          </a:p>
        </c:txPr>
        <c:crossAx val="-1259288432"/>
        <c:crosses val="autoZero"/>
        <c:auto val="1"/>
        <c:lblAlgn val="ctr"/>
        <c:lblOffset val="100"/>
        <c:noMultiLvlLbl val="0"/>
      </c:catAx>
      <c:valAx>
        <c:axId val="-1259288432"/>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sz="1000" b="1" i="0" u="none" strike="noStrike" baseline="0">
                    <a:solidFill>
                      <a:srgbClr val="424242"/>
                    </a:solidFill>
                    <a:latin typeface="Calibri"/>
                    <a:ea typeface="Calibri"/>
                    <a:cs typeface="Calibri"/>
                  </a:defRPr>
                </a:pPr>
                <a:r>
                  <a:rPr lang="es-CO"/>
                  <a:t>Pesos ($)</a:t>
                </a:r>
              </a:p>
            </c:rich>
          </c:tx>
          <c:layout>
            <c:manualLayout>
              <c:xMode val="edge"/>
              <c:yMode val="edge"/>
              <c:x val="1.4647861325026681E-2"/>
              <c:y val="0.43509605011030061"/>
            </c:manualLayout>
          </c:layout>
          <c:overlay val="0"/>
          <c:spPr>
            <a:noFill/>
            <a:ln w="25400">
              <a:noFill/>
            </a:ln>
          </c:spPr>
        </c:title>
        <c:numFmt formatCode="_-* #,##0_-;\-* #,##0_-;_-* &quot;-&quot;??_-;_-@_-" sourceLinked="1"/>
        <c:majorTickMark val="none"/>
        <c:minorTickMark val="none"/>
        <c:tickLblPos val="nextTo"/>
        <c:spPr>
          <a:ln w="9525">
            <a:noFill/>
          </a:ln>
        </c:spPr>
        <c:txPr>
          <a:bodyPr rot="0" vert="horz"/>
          <a:lstStyle/>
          <a:p>
            <a:pPr>
              <a:defRPr sz="900" b="0" i="0" u="none" strike="noStrike" baseline="0">
                <a:solidFill>
                  <a:srgbClr val="424242"/>
                </a:solidFill>
                <a:latin typeface="Calibri"/>
                <a:ea typeface="Calibri"/>
                <a:cs typeface="Calibri"/>
              </a:defRPr>
            </a:pPr>
            <a:endParaRPr lang="es-MX"/>
          </a:p>
        </c:txPr>
        <c:crossAx val="-1578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a:lstStyle/>
          <a:p>
            <a:pPr rtl="0">
              <a:defRPr sz="900" b="0" i="0" u="none" strike="noStrike" baseline="0">
                <a:solidFill>
                  <a:srgbClr val="424242"/>
                </a:solidFill>
                <a:latin typeface="Calibri"/>
                <a:ea typeface="Calibri"/>
                <a:cs typeface="Calibri"/>
              </a:defRPr>
            </a:pPr>
            <a:endParaRPr lang="es-MX"/>
          </a:p>
        </c:txPr>
      </c:dTable>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es-MX"/>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424242"/>
                </a:solidFill>
                <a:latin typeface="Calibri"/>
                <a:ea typeface="Calibri"/>
                <a:cs typeface="Calibri"/>
              </a:defRPr>
            </a:pPr>
            <a:r>
              <a:rPr lang="es-CO"/>
              <a:t>COMPOSICIÓN DEL ACTIVO CORRIENTE</a:t>
            </a:r>
          </a:p>
        </c:rich>
      </c:tx>
      <c:overlay val="0"/>
      <c:spPr>
        <a:noFill/>
        <a:ln w="25400">
          <a:noFill/>
        </a:ln>
      </c:spPr>
    </c:title>
    <c:autoTitleDeleted val="0"/>
    <c:plotArea>
      <c:layout/>
      <c:barChart>
        <c:barDir val="col"/>
        <c:grouping val="clustered"/>
        <c:varyColors val="0"/>
        <c:ser>
          <c:idx val="0"/>
          <c:order val="0"/>
          <c:tx>
            <c:strRef>
              <c:f>'ANALISIS FINANCIERO ESE'!$B$125</c:f>
              <c:strCache>
                <c:ptCount val="1"/>
                <c:pt idx="0">
                  <c:v>EFECTIVO Y BANCOS  </c:v>
                </c:pt>
              </c:strCache>
            </c:strRef>
          </c:tx>
          <c:spPr>
            <a:solidFill>
              <a:srgbClr val="4F81BD"/>
            </a:solidFill>
            <a:ln w="25400">
              <a:noFill/>
            </a:ln>
          </c:spPr>
          <c:invertIfNegative val="0"/>
          <c:cat>
            <c:numRef>
              <c:f>'ANALISIS FINANCIERO ESE'!$C$124:$I$124</c:f>
              <c:numCache>
                <c:formatCode>General</c:formatCode>
                <c:ptCount val="7"/>
                <c:pt idx="0">
                  <c:v>2017</c:v>
                </c:pt>
                <c:pt idx="1">
                  <c:v>2018</c:v>
                </c:pt>
                <c:pt idx="2">
                  <c:v>2019</c:v>
                </c:pt>
                <c:pt idx="3">
                  <c:v>2020</c:v>
                </c:pt>
                <c:pt idx="4">
                  <c:v>2021</c:v>
                </c:pt>
                <c:pt idx="5">
                  <c:v>2022</c:v>
                </c:pt>
                <c:pt idx="6">
                  <c:v>2023</c:v>
                </c:pt>
              </c:numCache>
            </c:numRef>
          </c:cat>
          <c:val>
            <c:numRef>
              <c:f>'ANALISIS FINANCIERO ESE'!$C$125:$I$125</c:f>
              <c:numCache>
                <c:formatCode>_-* #,##0_-;\-* #,##0_-;_-* "-"??_-;_-@_-</c:formatCode>
                <c:ptCount val="7"/>
                <c:pt idx="0">
                  <c:v>832274306</c:v>
                </c:pt>
                <c:pt idx="1">
                  <c:v>3877506311</c:v>
                </c:pt>
                <c:pt idx="2">
                  <c:v>628405009</c:v>
                </c:pt>
                <c:pt idx="3">
                  <c:v>734259744</c:v>
                </c:pt>
                <c:pt idx="4">
                  <c:v>548160771</c:v>
                </c:pt>
                <c:pt idx="5">
                  <c:v>445923180.19999999</c:v>
                </c:pt>
                <c:pt idx="6">
                  <c:v>3862426510.3600001</c:v>
                </c:pt>
              </c:numCache>
            </c:numRef>
          </c:val>
          <c:extLst>
            <c:ext xmlns:c16="http://schemas.microsoft.com/office/drawing/2014/chart" uri="{C3380CC4-5D6E-409C-BE32-E72D297353CC}">
              <c16:uniqueId val="{00000000-C41F-4A34-88A9-88827C7658E0}"/>
            </c:ext>
          </c:extLst>
        </c:ser>
        <c:ser>
          <c:idx val="1"/>
          <c:order val="1"/>
          <c:tx>
            <c:strRef>
              <c:f>'ANALISIS FINANCIERO ESE'!$B$126</c:f>
              <c:strCache>
                <c:ptCount val="1"/>
                <c:pt idx="0">
                  <c:v>CARTERA</c:v>
                </c:pt>
              </c:strCache>
            </c:strRef>
          </c:tx>
          <c:spPr>
            <a:solidFill>
              <a:srgbClr val="C0504D"/>
            </a:solidFill>
            <a:ln w="25400">
              <a:noFill/>
            </a:ln>
          </c:spPr>
          <c:invertIfNegative val="0"/>
          <c:cat>
            <c:numRef>
              <c:f>'ANALISIS FINANCIERO ESE'!$C$124:$I$124</c:f>
              <c:numCache>
                <c:formatCode>General</c:formatCode>
                <c:ptCount val="7"/>
                <c:pt idx="0">
                  <c:v>2017</c:v>
                </c:pt>
                <c:pt idx="1">
                  <c:v>2018</c:v>
                </c:pt>
                <c:pt idx="2">
                  <c:v>2019</c:v>
                </c:pt>
                <c:pt idx="3">
                  <c:v>2020</c:v>
                </c:pt>
                <c:pt idx="4">
                  <c:v>2021</c:v>
                </c:pt>
                <c:pt idx="5">
                  <c:v>2022</c:v>
                </c:pt>
                <c:pt idx="6">
                  <c:v>2023</c:v>
                </c:pt>
              </c:numCache>
            </c:numRef>
          </c:cat>
          <c:val>
            <c:numRef>
              <c:f>'ANALISIS FINANCIERO ESE'!$C$126:$I$126</c:f>
              <c:numCache>
                <c:formatCode>_-* #,##0_-;\-* #,##0_-;_-* "-"??_-;_-@_-</c:formatCode>
                <c:ptCount val="7"/>
                <c:pt idx="0">
                  <c:v>10191201812</c:v>
                </c:pt>
                <c:pt idx="1">
                  <c:v>11744065085</c:v>
                </c:pt>
                <c:pt idx="2">
                  <c:v>12266358947</c:v>
                </c:pt>
                <c:pt idx="3">
                  <c:v>14506278152</c:v>
                </c:pt>
                <c:pt idx="4">
                  <c:v>26725045933</c:v>
                </c:pt>
                <c:pt idx="5">
                  <c:v>36040454975</c:v>
                </c:pt>
                <c:pt idx="6">
                  <c:v>59239666662.599998</c:v>
                </c:pt>
              </c:numCache>
            </c:numRef>
          </c:val>
          <c:extLst>
            <c:ext xmlns:c16="http://schemas.microsoft.com/office/drawing/2014/chart" uri="{C3380CC4-5D6E-409C-BE32-E72D297353CC}">
              <c16:uniqueId val="{00000001-C41F-4A34-88A9-88827C7658E0}"/>
            </c:ext>
          </c:extLst>
        </c:ser>
        <c:ser>
          <c:idx val="2"/>
          <c:order val="2"/>
          <c:tx>
            <c:strRef>
              <c:f>'ANALISIS FINANCIERO ESE'!$B$127</c:f>
              <c:strCache>
                <c:ptCount val="1"/>
                <c:pt idx="0">
                  <c:v>INVENTARIOS</c:v>
                </c:pt>
              </c:strCache>
            </c:strRef>
          </c:tx>
          <c:spPr>
            <a:solidFill>
              <a:srgbClr val="9BBB59"/>
            </a:solidFill>
            <a:ln w="25400">
              <a:noFill/>
            </a:ln>
          </c:spPr>
          <c:invertIfNegative val="0"/>
          <c:cat>
            <c:numRef>
              <c:f>'ANALISIS FINANCIERO ESE'!$C$124:$I$124</c:f>
              <c:numCache>
                <c:formatCode>General</c:formatCode>
                <c:ptCount val="7"/>
                <c:pt idx="0">
                  <c:v>2017</c:v>
                </c:pt>
                <c:pt idx="1">
                  <c:v>2018</c:v>
                </c:pt>
                <c:pt idx="2">
                  <c:v>2019</c:v>
                </c:pt>
                <c:pt idx="3">
                  <c:v>2020</c:v>
                </c:pt>
                <c:pt idx="4">
                  <c:v>2021</c:v>
                </c:pt>
                <c:pt idx="5">
                  <c:v>2022</c:v>
                </c:pt>
                <c:pt idx="6">
                  <c:v>2023</c:v>
                </c:pt>
              </c:numCache>
            </c:numRef>
          </c:cat>
          <c:val>
            <c:numRef>
              <c:f>'ANALISIS FINANCIERO ESE'!$C$127:$I$127</c:f>
              <c:numCache>
                <c:formatCode>_-* #,##0_-;\-* #,##0_-;_-* "-"??_-;_-@_-</c:formatCode>
                <c:ptCount val="7"/>
                <c:pt idx="0">
                  <c:v>122969373</c:v>
                </c:pt>
                <c:pt idx="1">
                  <c:v>207399881</c:v>
                </c:pt>
                <c:pt idx="2">
                  <c:v>226157394</c:v>
                </c:pt>
                <c:pt idx="3">
                  <c:v>444843676</c:v>
                </c:pt>
                <c:pt idx="4">
                  <c:v>1055331383</c:v>
                </c:pt>
                <c:pt idx="5">
                  <c:v>1600913091</c:v>
                </c:pt>
                <c:pt idx="6">
                  <c:v>3068569241.8200002</c:v>
                </c:pt>
              </c:numCache>
            </c:numRef>
          </c:val>
          <c:extLst>
            <c:ext xmlns:c16="http://schemas.microsoft.com/office/drawing/2014/chart" uri="{C3380CC4-5D6E-409C-BE32-E72D297353CC}">
              <c16:uniqueId val="{00000002-C41F-4A34-88A9-88827C7658E0}"/>
            </c:ext>
          </c:extLst>
        </c:ser>
        <c:dLbls>
          <c:showLegendKey val="0"/>
          <c:showVal val="0"/>
          <c:showCatName val="0"/>
          <c:showSerName val="0"/>
          <c:showPercent val="0"/>
          <c:showBubbleSize val="0"/>
        </c:dLbls>
        <c:gapWidth val="150"/>
        <c:axId val="-1259308560"/>
        <c:axId val="-1259310192"/>
      </c:barChart>
      <c:catAx>
        <c:axId val="-1259308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424242"/>
                </a:solidFill>
                <a:latin typeface="Calibri"/>
                <a:ea typeface="Calibri"/>
                <a:cs typeface="Calibri"/>
              </a:defRPr>
            </a:pPr>
            <a:endParaRPr lang="es-MX"/>
          </a:p>
        </c:txPr>
        <c:crossAx val="-1259310192"/>
        <c:crosses val="autoZero"/>
        <c:auto val="1"/>
        <c:lblAlgn val="ctr"/>
        <c:lblOffset val="100"/>
        <c:noMultiLvlLbl val="0"/>
      </c:catAx>
      <c:valAx>
        <c:axId val="-1259310192"/>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sz="1000" b="1" i="0" u="none" strike="noStrike" baseline="0">
                    <a:solidFill>
                      <a:srgbClr val="424242"/>
                    </a:solidFill>
                    <a:latin typeface="Calibri"/>
                    <a:ea typeface="Calibri"/>
                    <a:cs typeface="Calibri"/>
                  </a:defRPr>
                </a:pPr>
                <a:r>
                  <a:rPr lang="es-CO"/>
                  <a:t>Pesos ($)</a:t>
                </a:r>
              </a:p>
            </c:rich>
          </c:tx>
          <c:overlay val="0"/>
          <c:spPr>
            <a:noFill/>
            <a:ln w="25400">
              <a:noFill/>
            </a:ln>
          </c:spPr>
        </c:title>
        <c:numFmt formatCode="_-* #,##0_-;\-* #,##0_-;_-* &quot;-&quot;??_-;_-@_-" sourceLinked="1"/>
        <c:majorTickMark val="none"/>
        <c:minorTickMark val="none"/>
        <c:tickLblPos val="nextTo"/>
        <c:spPr>
          <a:ln w="9525">
            <a:noFill/>
          </a:ln>
        </c:spPr>
        <c:txPr>
          <a:bodyPr rot="0" vert="horz"/>
          <a:lstStyle/>
          <a:p>
            <a:pPr>
              <a:defRPr sz="900" b="0" i="0" u="none" strike="noStrike" baseline="0">
                <a:solidFill>
                  <a:srgbClr val="424242"/>
                </a:solidFill>
                <a:latin typeface="Calibri"/>
                <a:ea typeface="Calibri"/>
                <a:cs typeface="Calibri"/>
              </a:defRPr>
            </a:pPr>
            <a:endParaRPr lang="es-MX"/>
          </a:p>
        </c:txPr>
        <c:crossAx val="-12593085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a:lstStyle/>
          <a:p>
            <a:pPr rtl="0">
              <a:defRPr sz="900" b="0" i="0" u="none" strike="noStrike" baseline="0">
                <a:solidFill>
                  <a:srgbClr val="424242"/>
                </a:solidFill>
                <a:latin typeface="Calibri"/>
                <a:ea typeface="Calibri"/>
                <a:cs typeface="Calibri"/>
              </a:defRPr>
            </a:pPr>
            <a:endParaRPr lang="es-MX"/>
          </a:p>
        </c:txPr>
      </c:dTable>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es-MX"/>
    </a:p>
  </c:txPr>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424242"/>
                </a:solidFill>
                <a:latin typeface="Calibri"/>
                <a:ea typeface="Calibri"/>
                <a:cs typeface="Calibri"/>
              </a:defRPr>
            </a:pPr>
            <a:r>
              <a:rPr lang="es-CO"/>
              <a:t>ACTIVOS E.S.E. 2017 A 2023</a:t>
            </a:r>
          </a:p>
        </c:rich>
      </c:tx>
      <c:overlay val="0"/>
      <c:spPr>
        <a:noFill/>
        <a:ln w="25400">
          <a:noFill/>
        </a:ln>
      </c:spPr>
    </c:title>
    <c:autoTitleDeleted val="0"/>
    <c:plotArea>
      <c:layout/>
      <c:barChart>
        <c:barDir val="col"/>
        <c:grouping val="clustered"/>
        <c:varyColors val="0"/>
        <c:ser>
          <c:idx val="0"/>
          <c:order val="0"/>
          <c:tx>
            <c:strRef>
              <c:f>'ANALISIS FINANCIERO ESE'!$B$132</c:f>
              <c:strCache>
                <c:ptCount val="1"/>
                <c:pt idx="0">
                  <c:v>EFECTIVO Y BANCOS</c:v>
                </c:pt>
              </c:strCache>
            </c:strRef>
          </c:tx>
          <c:spPr>
            <a:solidFill>
              <a:srgbClr val="4F81BD"/>
            </a:solidFill>
            <a:ln w="25400">
              <a:noFill/>
            </a:ln>
          </c:spPr>
          <c:invertIfNegative val="0"/>
          <c:cat>
            <c:numRef>
              <c:f>'ANALISIS FINANCIERO ESE'!$C$131:$I$131</c:f>
              <c:numCache>
                <c:formatCode>General</c:formatCode>
                <c:ptCount val="7"/>
                <c:pt idx="0">
                  <c:v>2017</c:v>
                </c:pt>
                <c:pt idx="1">
                  <c:v>2018</c:v>
                </c:pt>
                <c:pt idx="2">
                  <c:v>2019</c:v>
                </c:pt>
                <c:pt idx="3">
                  <c:v>2020</c:v>
                </c:pt>
                <c:pt idx="4">
                  <c:v>2021</c:v>
                </c:pt>
                <c:pt idx="5">
                  <c:v>2022</c:v>
                </c:pt>
                <c:pt idx="6">
                  <c:v>2023</c:v>
                </c:pt>
              </c:numCache>
            </c:numRef>
          </c:cat>
          <c:val>
            <c:numRef>
              <c:f>'ANALISIS FINANCIERO ESE'!$C$132:$I$132</c:f>
              <c:numCache>
                <c:formatCode>#,##0_);\(#,##0\)</c:formatCode>
                <c:ptCount val="7"/>
                <c:pt idx="0">
                  <c:v>832274306</c:v>
                </c:pt>
                <c:pt idx="1">
                  <c:v>3877506311</c:v>
                </c:pt>
                <c:pt idx="2">
                  <c:v>628405009</c:v>
                </c:pt>
                <c:pt idx="3">
                  <c:v>734259744</c:v>
                </c:pt>
                <c:pt idx="4">
                  <c:v>548160771</c:v>
                </c:pt>
                <c:pt idx="5">
                  <c:v>445923180.19999999</c:v>
                </c:pt>
                <c:pt idx="6">
                  <c:v>3862426510.3600001</c:v>
                </c:pt>
              </c:numCache>
            </c:numRef>
          </c:val>
          <c:extLst>
            <c:ext xmlns:c16="http://schemas.microsoft.com/office/drawing/2014/chart" uri="{C3380CC4-5D6E-409C-BE32-E72D297353CC}">
              <c16:uniqueId val="{00000000-3101-4309-BB16-EE76E1AD2542}"/>
            </c:ext>
          </c:extLst>
        </c:ser>
        <c:ser>
          <c:idx val="1"/>
          <c:order val="1"/>
          <c:tx>
            <c:strRef>
              <c:f>'ANALISIS FINANCIERO ESE'!$B$133</c:f>
              <c:strCache>
                <c:ptCount val="1"/>
                <c:pt idx="0">
                  <c:v>CARTERA</c:v>
                </c:pt>
              </c:strCache>
            </c:strRef>
          </c:tx>
          <c:spPr>
            <a:solidFill>
              <a:srgbClr val="C0504D"/>
            </a:solidFill>
            <a:ln w="25400">
              <a:noFill/>
            </a:ln>
          </c:spPr>
          <c:invertIfNegative val="0"/>
          <c:cat>
            <c:numRef>
              <c:f>'ANALISIS FINANCIERO ESE'!$C$131:$I$131</c:f>
              <c:numCache>
                <c:formatCode>General</c:formatCode>
                <c:ptCount val="7"/>
                <c:pt idx="0">
                  <c:v>2017</c:v>
                </c:pt>
                <c:pt idx="1">
                  <c:v>2018</c:v>
                </c:pt>
                <c:pt idx="2">
                  <c:v>2019</c:v>
                </c:pt>
                <c:pt idx="3">
                  <c:v>2020</c:v>
                </c:pt>
                <c:pt idx="4">
                  <c:v>2021</c:v>
                </c:pt>
                <c:pt idx="5">
                  <c:v>2022</c:v>
                </c:pt>
                <c:pt idx="6">
                  <c:v>2023</c:v>
                </c:pt>
              </c:numCache>
            </c:numRef>
          </c:cat>
          <c:val>
            <c:numRef>
              <c:f>'ANALISIS FINANCIERO ESE'!$C$133:$I$133</c:f>
              <c:numCache>
                <c:formatCode>#,##0_);\(#,##0\)</c:formatCode>
                <c:ptCount val="7"/>
                <c:pt idx="0">
                  <c:v>10191201812</c:v>
                </c:pt>
                <c:pt idx="1">
                  <c:v>11744065085</c:v>
                </c:pt>
                <c:pt idx="2">
                  <c:v>12266358947</c:v>
                </c:pt>
                <c:pt idx="3">
                  <c:v>14506278152</c:v>
                </c:pt>
                <c:pt idx="4">
                  <c:v>26725045933</c:v>
                </c:pt>
                <c:pt idx="5">
                  <c:v>36040454975</c:v>
                </c:pt>
                <c:pt idx="6">
                  <c:v>59239666662.599998</c:v>
                </c:pt>
              </c:numCache>
            </c:numRef>
          </c:val>
          <c:extLst>
            <c:ext xmlns:c16="http://schemas.microsoft.com/office/drawing/2014/chart" uri="{C3380CC4-5D6E-409C-BE32-E72D297353CC}">
              <c16:uniqueId val="{00000001-3101-4309-BB16-EE76E1AD2542}"/>
            </c:ext>
          </c:extLst>
        </c:ser>
        <c:ser>
          <c:idx val="2"/>
          <c:order val="2"/>
          <c:tx>
            <c:strRef>
              <c:f>'ANALISIS FINANCIERO ESE'!$B$134</c:f>
              <c:strCache>
                <c:ptCount val="1"/>
                <c:pt idx="0">
                  <c:v>ACTIVOS FIJOS</c:v>
                </c:pt>
              </c:strCache>
            </c:strRef>
          </c:tx>
          <c:spPr>
            <a:solidFill>
              <a:srgbClr val="9BBB59"/>
            </a:solidFill>
            <a:ln w="25400">
              <a:noFill/>
            </a:ln>
          </c:spPr>
          <c:invertIfNegative val="0"/>
          <c:cat>
            <c:numRef>
              <c:f>'ANALISIS FINANCIERO ESE'!$C$131:$I$131</c:f>
              <c:numCache>
                <c:formatCode>General</c:formatCode>
                <c:ptCount val="7"/>
                <c:pt idx="0">
                  <c:v>2017</c:v>
                </c:pt>
                <c:pt idx="1">
                  <c:v>2018</c:v>
                </c:pt>
                <c:pt idx="2">
                  <c:v>2019</c:v>
                </c:pt>
                <c:pt idx="3">
                  <c:v>2020</c:v>
                </c:pt>
                <c:pt idx="4">
                  <c:v>2021</c:v>
                </c:pt>
                <c:pt idx="5">
                  <c:v>2022</c:v>
                </c:pt>
                <c:pt idx="6">
                  <c:v>2023</c:v>
                </c:pt>
              </c:numCache>
            </c:numRef>
          </c:cat>
          <c:val>
            <c:numRef>
              <c:f>'ANALISIS FINANCIERO ESE'!$C$134:$I$134</c:f>
              <c:numCache>
                <c:formatCode>#,##0_);\(#,##0\)</c:formatCode>
                <c:ptCount val="7"/>
                <c:pt idx="0">
                  <c:v>8152929888</c:v>
                </c:pt>
                <c:pt idx="1">
                  <c:v>11212294148</c:v>
                </c:pt>
                <c:pt idx="2">
                  <c:v>38789284828</c:v>
                </c:pt>
                <c:pt idx="3">
                  <c:v>37888817782</c:v>
                </c:pt>
                <c:pt idx="4">
                  <c:v>37829851780</c:v>
                </c:pt>
                <c:pt idx="5">
                  <c:v>40322465563.500008</c:v>
                </c:pt>
                <c:pt idx="6">
                  <c:v>39493481233.5</c:v>
                </c:pt>
              </c:numCache>
            </c:numRef>
          </c:val>
          <c:extLst>
            <c:ext xmlns:c16="http://schemas.microsoft.com/office/drawing/2014/chart" uri="{C3380CC4-5D6E-409C-BE32-E72D297353CC}">
              <c16:uniqueId val="{00000002-3101-4309-BB16-EE76E1AD2542}"/>
            </c:ext>
          </c:extLst>
        </c:ser>
        <c:ser>
          <c:idx val="3"/>
          <c:order val="3"/>
          <c:tx>
            <c:strRef>
              <c:f>'ANALISIS FINANCIERO ESE'!$B$135</c:f>
              <c:strCache>
                <c:ptCount val="1"/>
                <c:pt idx="0">
                  <c:v>OTROS ACTIVOS</c:v>
                </c:pt>
              </c:strCache>
            </c:strRef>
          </c:tx>
          <c:spPr>
            <a:solidFill>
              <a:srgbClr val="8064A2"/>
            </a:solidFill>
            <a:ln w="25400">
              <a:noFill/>
            </a:ln>
          </c:spPr>
          <c:invertIfNegative val="0"/>
          <c:cat>
            <c:numRef>
              <c:f>'ANALISIS FINANCIERO ESE'!$C$131:$I$131</c:f>
              <c:numCache>
                <c:formatCode>General</c:formatCode>
                <c:ptCount val="7"/>
                <c:pt idx="0">
                  <c:v>2017</c:v>
                </c:pt>
                <c:pt idx="1">
                  <c:v>2018</c:v>
                </c:pt>
                <c:pt idx="2">
                  <c:v>2019</c:v>
                </c:pt>
                <c:pt idx="3">
                  <c:v>2020</c:v>
                </c:pt>
                <c:pt idx="4">
                  <c:v>2021</c:v>
                </c:pt>
                <c:pt idx="5">
                  <c:v>2022</c:v>
                </c:pt>
                <c:pt idx="6">
                  <c:v>2023</c:v>
                </c:pt>
              </c:numCache>
            </c:numRef>
          </c:cat>
          <c:val>
            <c:numRef>
              <c:f>'ANALISIS FINANCIERO ESE'!$C$135:$I$135</c:f>
              <c:numCache>
                <c:formatCode>#,##0_);\(#,##0\)</c:formatCode>
                <c:ptCount val="7"/>
                <c:pt idx="0">
                  <c:v>228997658</c:v>
                </c:pt>
                <c:pt idx="1">
                  <c:v>1467907315</c:v>
                </c:pt>
                <c:pt idx="2">
                  <c:v>271639211</c:v>
                </c:pt>
                <c:pt idx="3">
                  <c:v>571857174</c:v>
                </c:pt>
                <c:pt idx="4">
                  <c:v>1444836582</c:v>
                </c:pt>
                <c:pt idx="5">
                  <c:v>2443550041.2999954</c:v>
                </c:pt>
                <c:pt idx="6">
                  <c:v>4167686252.1200027</c:v>
                </c:pt>
              </c:numCache>
            </c:numRef>
          </c:val>
          <c:extLst>
            <c:ext xmlns:c16="http://schemas.microsoft.com/office/drawing/2014/chart" uri="{C3380CC4-5D6E-409C-BE32-E72D297353CC}">
              <c16:uniqueId val="{00000003-3101-4309-BB16-EE76E1AD2542}"/>
            </c:ext>
          </c:extLst>
        </c:ser>
        <c:dLbls>
          <c:showLegendKey val="0"/>
          <c:showVal val="0"/>
          <c:showCatName val="0"/>
          <c:showSerName val="0"/>
          <c:showPercent val="0"/>
          <c:showBubbleSize val="0"/>
        </c:dLbls>
        <c:gapWidth val="150"/>
        <c:axId val="-1259299312"/>
        <c:axId val="-1259309648"/>
      </c:barChart>
      <c:catAx>
        <c:axId val="-1259299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424242"/>
                </a:solidFill>
                <a:latin typeface="Calibri"/>
                <a:ea typeface="Calibri"/>
                <a:cs typeface="Calibri"/>
              </a:defRPr>
            </a:pPr>
            <a:endParaRPr lang="es-MX"/>
          </a:p>
        </c:txPr>
        <c:crossAx val="-1259309648"/>
        <c:crosses val="autoZero"/>
        <c:auto val="1"/>
        <c:lblAlgn val="ctr"/>
        <c:lblOffset val="100"/>
        <c:noMultiLvlLbl val="0"/>
      </c:catAx>
      <c:valAx>
        <c:axId val="-1259309648"/>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sz="1050" b="1" i="0" u="none" strike="noStrike" baseline="0">
                    <a:solidFill>
                      <a:srgbClr val="424242"/>
                    </a:solidFill>
                    <a:latin typeface="Calibri"/>
                    <a:ea typeface="Calibri"/>
                    <a:cs typeface="Calibri"/>
                  </a:defRPr>
                </a:pPr>
                <a:r>
                  <a:rPr lang="es-CO"/>
                  <a:t>Pesos ($)</a:t>
                </a:r>
              </a:p>
            </c:rich>
          </c:tx>
          <c:overlay val="0"/>
          <c:spPr>
            <a:noFill/>
            <a:ln w="25400">
              <a:noFill/>
            </a:ln>
          </c:spPr>
        </c:title>
        <c:numFmt formatCode="#,##0_);\(#,##0\)" sourceLinked="1"/>
        <c:majorTickMark val="none"/>
        <c:minorTickMark val="none"/>
        <c:tickLblPos val="nextTo"/>
        <c:spPr>
          <a:ln w="9525">
            <a:noFill/>
          </a:ln>
        </c:spPr>
        <c:txPr>
          <a:bodyPr rot="0" vert="horz"/>
          <a:lstStyle/>
          <a:p>
            <a:pPr>
              <a:defRPr sz="900" b="0" i="0" u="none" strike="noStrike" baseline="0">
                <a:solidFill>
                  <a:srgbClr val="424242"/>
                </a:solidFill>
                <a:latin typeface="Calibri"/>
                <a:ea typeface="Calibri"/>
                <a:cs typeface="Calibri"/>
              </a:defRPr>
            </a:pPr>
            <a:endParaRPr lang="es-MX"/>
          </a:p>
        </c:txPr>
        <c:crossAx val="-125929931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a:lstStyle/>
          <a:p>
            <a:pPr rtl="0">
              <a:defRPr sz="900" b="0" i="0" u="none" strike="noStrike" baseline="0">
                <a:solidFill>
                  <a:srgbClr val="424242"/>
                </a:solidFill>
                <a:latin typeface="Calibri"/>
                <a:ea typeface="Calibri"/>
                <a:cs typeface="Calibri"/>
              </a:defRPr>
            </a:pPr>
            <a:endParaRPr lang="es-MX"/>
          </a:p>
        </c:txPr>
      </c:dTable>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es-MX"/>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tabColor rgb="FF7E1047"/>
  </sheetPr>
  <sheetViews>
    <sheetView zoomScale="117"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500-000000000000}">
  <sheetPr>
    <tabColor rgb="FF7E1047"/>
  </sheetPr>
  <sheetViews>
    <sheetView zoomScale="117"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600-000000000000}">
  <sheetPr>
    <tabColor rgb="FF7E1047"/>
  </sheetPr>
  <sheetViews>
    <sheetView zoomScale="117"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tabColor rgb="FF7E1047"/>
  </sheetPr>
  <sheetViews>
    <sheetView zoomScale="117"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CONTENIDO%20CUADROS%20MONITOREO%202023.xlsx"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0</xdr:colOff>
      <xdr:row>2</xdr:row>
      <xdr:rowOff>0</xdr:rowOff>
    </xdr:from>
    <xdr:to>
      <xdr:col>2</xdr:col>
      <xdr:colOff>1009650</xdr:colOff>
      <xdr:row>5</xdr:row>
      <xdr:rowOff>130752</xdr:rowOff>
    </xdr:to>
    <xdr:sp macro="" textlink="">
      <xdr:nvSpPr>
        <xdr:cNvPr id="2" name="Flecha a la derecha con bandas 2">
          <a:hlinkClick xmlns:r="http://schemas.openxmlformats.org/officeDocument/2006/relationships" r:id="rId1"/>
          <a:extLst>
            <a:ext uri="{FF2B5EF4-FFF2-40B4-BE49-F238E27FC236}">
              <a16:creationId xmlns:a16="http://schemas.microsoft.com/office/drawing/2014/main" id="{AD94E68E-838F-4675-BA94-751B4044A212}"/>
            </a:ext>
          </a:extLst>
        </xdr:cNvPr>
        <xdr:cNvSpPr/>
      </xdr:nvSpPr>
      <xdr:spPr>
        <a:xfrm>
          <a:off x="2819400" y="285750"/>
          <a:ext cx="1009650" cy="559377"/>
        </a:xfrm>
        <a:prstGeom prst="stripedRightArrow">
          <a:avLst/>
        </a:prstGeom>
        <a:solidFill>
          <a:srgbClr val="92D050"/>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lang="es-CO" sz="1400" b="1">
              <a:solidFill>
                <a:schemeClr val="lt1"/>
              </a:solidFill>
              <a:latin typeface="+mn-lt"/>
              <a:ea typeface="+mn-ea"/>
              <a:cs typeface="+mn-cs"/>
            </a:rPr>
            <a:t>VOLVER</a:t>
          </a:r>
        </a:p>
      </xdr:txBody>
    </xdr:sp>
    <xdr:clientData/>
  </xdr:twoCellAnchor>
  <xdr:twoCellAnchor editAs="oneCell">
    <xdr:from>
      <xdr:col>0</xdr:col>
      <xdr:colOff>85725</xdr:colOff>
      <xdr:row>0</xdr:row>
      <xdr:rowOff>114301</xdr:rowOff>
    </xdr:from>
    <xdr:to>
      <xdr:col>1</xdr:col>
      <xdr:colOff>1152525</xdr:colOff>
      <xdr:row>9</xdr:row>
      <xdr:rowOff>76201</xdr:rowOff>
    </xdr:to>
    <xdr:pic>
      <xdr:nvPicPr>
        <xdr:cNvPr id="3" name="Picture 27">
          <a:extLst>
            <a:ext uri="{FF2B5EF4-FFF2-40B4-BE49-F238E27FC236}">
              <a16:creationId xmlns:a16="http://schemas.microsoft.com/office/drawing/2014/main" id="{80BC2FF1-7A00-42B3-B446-EA3991C0DA2F}"/>
            </a:ext>
          </a:extLst>
        </xdr:cNvPr>
        <xdr:cNvPicPr/>
      </xdr:nvPicPr>
      <xdr:blipFill>
        <a:blip xmlns:r="http://schemas.openxmlformats.org/officeDocument/2006/relationships" r:embed="rId2"/>
        <a:stretch>
          <a:fillRect/>
        </a:stretch>
      </xdr:blipFill>
      <xdr:spPr>
        <a:xfrm>
          <a:off x="85725" y="114301"/>
          <a:ext cx="1514475" cy="12573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1028700</xdr:colOff>
      <xdr:row>8</xdr:row>
      <xdr:rowOff>114300</xdr:rowOff>
    </xdr:to>
    <xdr:pic>
      <xdr:nvPicPr>
        <xdr:cNvPr id="2" name="Picture 27">
          <a:extLst>
            <a:ext uri="{FF2B5EF4-FFF2-40B4-BE49-F238E27FC236}">
              <a16:creationId xmlns:a16="http://schemas.microsoft.com/office/drawing/2014/main" id="{9AAD8D2C-81B4-4F74-AF09-3104A691FD51}"/>
            </a:ext>
          </a:extLst>
        </xdr:cNvPr>
        <xdr:cNvPicPr/>
      </xdr:nvPicPr>
      <xdr:blipFill>
        <a:blip xmlns:r="http://schemas.openxmlformats.org/officeDocument/2006/relationships" r:embed="rId1"/>
        <a:stretch>
          <a:fillRect/>
        </a:stretch>
      </xdr:blipFill>
      <xdr:spPr>
        <a:xfrm>
          <a:off x="0" y="0"/>
          <a:ext cx="1514475" cy="12573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69274</xdr:colOff>
      <xdr:row>0</xdr:row>
      <xdr:rowOff>43295</xdr:rowOff>
    </xdr:from>
    <xdr:to>
      <xdr:col>1</xdr:col>
      <xdr:colOff>943842</xdr:colOff>
      <xdr:row>4</xdr:row>
      <xdr:rowOff>129886</xdr:rowOff>
    </xdr:to>
    <xdr:pic>
      <xdr:nvPicPr>
        <xdr:cNvPr id="2" name="Picture 27">
          <a:extLst>
            <a:ext uri="{FF2B5EF4-FFF2-40B4-BE49-F238E27FC236}">
              <a16:creationId xmlns:a16="http://schemas.microsoft.com/office/drawing/2014/main" id="{8E5C7A65-232B-44AC-BAAC-49EF84DE33B1}"/>
            </a:ext>
          </a:extLst>
        </xdr:cNvPr>
        <xdr:cNvPicPr/>
      </xdr:nvPicPr>
      <xdr:blipFill>
        <a:blip xmlns:r="http://schemas.openxmlformats.org/officeDocument/2006/relationships" r:embed="rId1"/>
        <a:stretch>
          <a:fillRect/>
        </a:stretch>
      </xdr:blipFill>
      <xdr:spPr>
        <a:xfrm>
          <a:off x="467592" y="43295"/>
          <a:ext cx="874568" cy="7966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absoluteAnchor>
    <xdr:pos x="0" y="0"/>
    <xdr:ext cx="8662051" cy="6276731"/>
    <xdr:graphicFrame macro="">
      <xdr:nvGraphicFramePr>
        <xdr:cNvPr id="2" name="Gráfico 1">
          <a:extLst>
            <a:ext uri="{FF2B5EF4-FFF2-40B4-BE49-F238E27FC236}">
              <a16:creationId xmlns:a16="http://schemas.microsoft.com/office/drawing/2014/main" id="{EDE0A5E7-CF24-453F-A718-F41C9F4C6768}"/>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8662051" cy="6276731"/>
    <xdr:graphicFrame macro="">
      <xdr:nvGraphicFramePr>
        <xdr:cNvPr id="2" name="Gráfico 1">
          <a:extLst>
            <a:ext uri="{FF2B5EF4-FFF2-40B4-BE49-F238E27FC236}">
              <a16:creationId xmlns:a16="http://schemas.microsoft.com/office/drawing/2014/main" id="{213B753C-1D0C-4673-A9E0-C97E9494EC6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8662051" cy="6276731"/>
    <xdr:graphicFrame macro="">
      <xdr:nvGraphicFramePr>
        <xdr:cNvPr id="2" name="Gráfico 1">
          <a:extLst>
            <a:ext uri="{FF2B5EF4-FFF2-40B4-BE49-F238E27FC236}">
              <a16:creationId xmlns:a16="http://schemas.microsoft.com/office/drawing/2014/main" id="{B51E000B-0DC4-403A-9B34-E0B5BF94C3A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662051" cy="6276731"/>
    <xdr:graphicFrame macro="">
      <xdr:nvGraphicFramePr>
        <xdr:cNvPr id="2" name="Gráfico 1">
          <a:extLst>
            <a:ext uri="{FF2B5EF4-FFF2-40B4-BE49-F238E27FC236}">
              <a16:creationId xmlns:a16="http://schemas.microsoft.com/office/drawing/2014/main" id="{EB1CC36A-16A1-4B74-8FD3-085E6413E0CC}"/>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bout:bla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ESTRATEGICO"/>
      <sheetName val="POND MPC"/>
      <sheetName val="MPC"/>
      <sheetName val="COMPETIDORES"/>
      <sheetName val="EXTERNO"/>
      <sheetName val="INTERNO"/>
      <sheetName val="CALIFICACION"/>
      <sheetName val="LLUVIA"/>
      <sheetName val="DOFA"/>
      <sheetName val="ESTRATEGIAS"/>
      <sheetName val="MCPE"/>
      <sheetName val="CATEG ESTRAT"/>
      <sheetName val="PLAN"/>
      <sheetName val="PLAN DES"/>
      <sheetName val="INDICADORES GRAL"/>
      <sheetName val="INICIAL"/>
      <sheetName val="FINANCIEROS"/>
      <sheetName val="LOGROS A ALCANZAR"/>
      <sheetName val="METAS DIREC GERENCIA"/>
      <sheetName val="METAS ADMIN FINANC"/>
      <sheetName val="METAS CLINICA I NIVEL"/>
      <sheetName val="METAS CLINICA II Y III NIVEL"/>
      <sheetName val="METAS CLINICA MENTALES"/>
      <sheetName val="UVR"/>
      <sheetName val="CATEGORIZACIÓN"/>
      <sheetName val="INDICE"/>
      <sheetName val="EVALUACIÓN"/>
      <sheetName val="ESE EN RIESGO"/>
      <sheetName val="CUADRO_23- PASIVOS PGIR"/>
      <sheetName val="CUADRO_24 - DETALLE PASIVO"/>
      <sheetName val="CUADRO_25- CUENTAS POR COBRAR"/>
      <sheetName val="CUADRO_26 - DETALLE CTAS X COB"/>
      <sheetName val="CUADRO_27_BALANCES COMP"/>
      <sheetName val="CUADRO_28_RESULTADOS DESAGR"/>
      <sheetName val="CUADRO_29_ANALISIS FINANCIERO"/>
      <sheetName val="CUADRO_30_EVALUACION GLOBAL"/>
      <sheetName val="G BALANCES"/>
      <sheetName val="G RESULTADOS"/>
      <sheetName val="G ACTIVOS"/>
      <sheetName val="G ACT CORRIENTE"/>
      <sheetName val="G LIQUIDEZ"/>
      <sheetName val="G EFICIENCIA OP"/>
    </sheetNames>
    <sheetDataSet>
      <sheetData sheetId="0">
        <row r="1">
          <cell r="A1" t="str">
            <v>PLANEACIÓN ESTRATÉGICA INSTITUCIONAL</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5">
          <cell r="B5" t="str">
            <v>1546900823</v>
          </cell>
        </row>
      </sheetData>
      <sheetData sheetId="26"/>
      <sheetData sheetId="27"/>
      <sheetData sheetId="28" refreshError="1"/>
      <sheetData sheetId="29" refreshError="1"/>
      <sheetData sheetId="30" refreshError="1"/>
      <sheetData sheetId="31" refreshError="1"/>
      <sheetData sheetId="32">
        <row r="64">
          <cell r="C64">
            <v>0</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E1047"/>
    <pageSetUpPr fitToPage="1"/>
  </sheetPr>
  <dimension ref="A1:AE78"/>
  <sheetViews>
    <sheetView tabSelected="1" topLeftCell="E33" zoomScale="120" zoomScaleNormal="120" workbookViewId="0">
      <selection activeCell="S64" sqref="S64"/>
    </sheetView>
  </sheetViews>
  <sheetFormatPr baseColWidth="10" defaultRowHeight="11.25" x14ac:dyDescent="0.2"/>
  <cols>
    <col min="1" max="1" width="6.7109375" style="177" customWidth="1"/>
    <col min="2" max="2" width="35.5703125" style="177" customWidth="1"/>
    <col min="3" max="3" width="20.42578125" style="177" customWidth="1"/>
    <col min="4" max="4" width="3" style="177" customWidth="1"/>
    <col min="5" max="5" width="19.140625" style="177" customWidth="1"/>
    <col min="6" max="6" width="3.5703125" style="177" customWidth="1"/>
    <col min="7" max="7" width="18.85546875" style="181" customWidth="1"/>
    <col min="8" max="8" width="1.7109375" style="177" customWidth="1"/>
    <col min="9" max="9" width="19.28515625" style="181" customWidth="1"/>
    <col min="10" max="10" width="2" style="181" customWidth="1"/>
    <col min="11" max="11" width="18.85546875" style="181" customWidth="1"/>
    <col min="12" max="12" width="3" style="181" customWidth="1"/>
    <col min="13" max="13" width="19.42578125" style="181" customWidth="1"/>
    <col min="14" max="14" width="3" style="181" customWidth="1"/>
    <col min="15" max="15" width="19.140625" style="181" customWidth="1"/>
    <col min="16" max="16" width="3.28515625" style="181" customWidth="1"/>
    <col min="17" max="17" width="6.42578125" style="177" customWidth="1"/>
    <col min="18" max="18" width="38.28515625" style="177" customWidth="1"/>
    <col min="19" max="19" width="20.140625" style="177" customWidth="1"/>
    <col min="20" max="20" width="2.85546875" style="177" customWidth="1"/>
    <col min="21" max="21" width="19" style="177" customWidth="1"/>
    <col min="22" max="22" width="2.5703125" style="177" customWidth="1"/>
    <col min="23" max="23" width="19.42578125" style="177" customWidth="1"/>
    <col min="24" max="24" width="1.7109375" style="177" customWidth="1"/>
    <col min="25" max="25" width="19.28515625" style="177" customWidth="1"/>
    <col min="26" max="26" width="2.7109375" style="177" customWidth="1"/>
    <col min="27" max="27" width="19.28515625" style="177" customWidth="1"/>
    <col min="28" max="28" width="2.5703125" style="177" customWidth="1"/>
    <col min="29" max="29" width="20" style="177" customWidth="1"/>
    <col min="30" max="30" width="2.140625" style="177" customWidth="1"/>
    <col min="31" max="31" width="19.140625" style="177" customWidth="1"/>
    <col min="32" max="16384" width="11.42578125" style="177"/>
  </cols>
  <sheetData>
    <row r="1" spans="1:31" x14ac:dyDescent="0.2">
      <c r="B1" s="180"/>
      <c r="C1" s="180"/>
      <c r="D1" s="180"/>
      <c r="E1" s="180"/>
      <c r="F1" s="180"/>
      <c r="G1" s="180"/>
    </row>
    <row r="4" spans="1:31" x14ac:dyDescent="0.2">
      <c r="A4" s="182"/>
      <c r="B4" s="182"/>
      <c r="C4" s="182"/>
      <c r="D4" s="182"/>
      <c r="E4" s="182"/>
      <c r="F4" s="182"/>
      <c r="G4" s="182"/>
      <c r="H4" s="182"/>
      <c r="I4" s="182"/>
      <c r="J4" s="182"/>
      <c r="K4" s="182"/>
      <c r="L4" s="182"/>
      <c r="M4" s="182"/>
      <c r="N4" s="182"/>
      <c r="O4" s="182"/>
      <c r="P4" s="182"/>
      <c r="Q4" s="182"/>
      <c r="R4" s="182"/>
      <c r="S4" s="182"/>
      <c r="T4" s="182"/>
      <c r="U4" s="182"/>
      <c r="V4" s="182"/>
      <c r="W4" s="182"/>
      <c r="X4" s="182"/>
      <c r="Y4" s="182"/>
    </row>
    <row r="5" spans="1:31" x14ac:dyDescent="0.2">
      <c r="A5" s="182" t="s">
        <v>398</v>
      </c>
      <c r="B5" s="182"/>
      <c r="C5" s="182"/>
      <c r="D5" s="182"/>
      <c r="E5" s="182"/>
      <c r="F5" s="182"/>
      <c r="G5" s="182"/>
      <c r="H5" s="182"/>
      <c r="I5" s="182"/>
      <c r="J5" s="182"/>
      <c r="K5" s="182"/>
      <c r="L5" s="182"/>
      <c r="M5" s="182"/>
      <c r="N5" s="182"/>
      <c r="O5" s="182"/>
      <c r="P5" s="182"/>
      <c r="Q5" s="182"/>
      <c r="R5" s="182"/>
      <c r="S5" s="182"/>
      <c r="T5" s="182"/>
      <c r="U5" s="182"/>
      <c r="V5" s="182"/>
      <c r="W5" s="182"/>
      <c r="X5" s="182"/>
      <c r="Y5" s="182"/>
    </row>
    <row r="6" spans="1:31" x14ac:dyDescent="0.2">
      <c r="A6" s="182" t="s">
        <v>321</v>
      </c>
      <c r="B6" s="182"/>
      <c r="C6" s="182"/>
      <c r="D6" s="182"/>
      <c r="E6" s="182"/>
      <c r="F6" s="182"/>
      <c r="G6" s="182"/>
      <c r="H6" s="182"/>
      <c r="I6" s="182"/>
      <c r="J6" s="182"/>
      <c r="K6" s="182"/>
      <c r="L6" s="182"/>
      <c r="M6" s="182"/>
      <c r="N6" s="182"/>
      <c r="O6" s="182"/>
      <c r="P6" s="182"/>
      <c r="Q6" s="182"/>
      <c r="R6" s="182"/>
      <c r="S6" s="182"/>
      <c r="T6" s="182"/>
      <c r="U6" s="182"/>
      <c r="V6" s="182"/>
      <c r="W6" s="182"/>
      <c r="X6" s="182"/>
      <c r="Y6" s="182"/>
    </row>
    <row r="7" spans="1:31" x14ac:dyDescent="0.2">
      <c r="A7" s="182" t="s">
        <v>401</v>
      </c>
      <c r="B7" s="182"/>
      <c r="C7" s="182"/>
      <c r="D7" s="182"/>
      <c r="E7" s="182"/>
      <c r="F7" s="182"/>
      <c r="G7" s="182"/>
      <c r="H7" s="182"/>
      <c r="I7" s="182"/>
      <c r="J7" s="182"/>
      <c r="K7" s="182"/>
      <c r="L7" s="182"/>
      <c r="M7" s="182"/>
      <c r="N7" s="182"/>
      <c r="O7" s="182"/>
      <c r="P7" s="182"/>
      <c r="Q7" s="182"/>
      <c r="R7" s="182"/>
      <c r="S7" s="182"/>
      <c r="T7" s="182"/>
      <c r="U7" s="182"/>
      <c r="V7" s="182"/>
      <c r="W7" s="182"/>
      <c r="X7" s="182"/>
      <c r="Y7" s="182"/>
    </row>
    <row r="8" spans="1:31" ht="12.75" customHeight="1" x14ac:dyDescent="0.2">
      <c r="A8" s="183" t="s">
        <v>323</v>
      </c>
      <c r="B8" s="183"/>
      <c r="C8" s="183"/>
      <c r="D8" s="183"/>
      <c r="E8" s="183"/>
      <c r="F8" s="183"/>
      <c r="G8" s="183"/>
      <c r="H8" s="183"/>
      <c r="I8" s="183"/>
      <c r="J8" s="183"/>
      <c r="K8" s="183"/>
      <c r="L8" s="183"/>
      <c r="M8" s="183"/>
      <c r="N8" s="183"/>
      <c r="O8" s="183"/>
      <c r="P8" s="183"/>
      <c r="Q8" s="183"/>
      <c r="R8" s="183"/>
      <c r="S8" s="183"/>
      <c r="T8" s="183"/>
      <c r="U8" s="183"/>
      <c r="V8" s="183"/>
      <c r="W8" s="183"/>
      <c r="X8" s="183"/>
      <c r="Y8" s="183"/>
    </row>
    <row r="9" spans="1:31" ht="10.5" customHeight="1" x14ac:dyDescent="0.2">
      <c r="G9" s="184"/>
      <c r="H9" s="185"/>
      <c r="I9" s="186"/>
      <c r="J9" s="186"/>
      <c r="K9" s="186"/>
      <c r="L9" s="186"/>
      <c r="M9" s="186"/>
      <c r="N9" s="186"/>
      <c r="O9" s="186"/>
      <c r="P9" s="186"/>
      <c r="Q9" s="185"/>
      <c r="R9" s="185"/>
      <c r="S9" s="185"/>
      <c r="T9" s="185"/>
      <c r="U9" s="185"/>
      <c r="V9" s="185"/>
      <c r="W9" s="185"/>
      <c r="X9" s="185"/>
      <c r="Y9" s="185"/>
    </row>
    <row r="10" spans="1:31" ht="12" customHeight="1" x14ac:dyDescent="0.25">
      <c r="C10" s="245" t="s">
        <v>404</v>
      </c>
      <c r="D10" s="187"/>
      <c r="E10" s="187" t="s">
        <v>317</v>
      </c>
      <c r="F10" s="187"/>
      <c r="G10" s="187" t="s">
        <v>317</v>
      </c>
      <c r="H10" s="187"/>
      <c r="I10" s="187" t="s">
        <v>317</v>
      </c>
      <c r="J10" s="188"/>
      <c r="K10" s="187" t="s">
        <v>317</v>
      </c>
      <c r="L10" s="189"/>
      <c r="M10" s="187" t="s">
        <v>0</v>
      </c>
      <c r="N10" s="187"/>
      <c r="O10" s="187" t="s">
        <v>0</v>
      </c>
      <c r="P10" s="187"/>
      <c r="Q10" s="190"/>
      <c r="R10" s="188"/>
      <c r="S10" s="191" t="str">
        <f>+C10</f>
        <v>AGOSTO 2023</v>
      </c>
      <c r="T10" s="187"/>
      <c r="U10" s="187" t="str">
        <f>+E10</f>
        <v>DIC 31</v>
      </c>
      <c r="V10" s="188"/>
      <c r="W10" s="187" t="str">
        <f>+G10</f>
        <v>DIC 31</v>
      </c>
      <c r="X10" s="187"/>
      <c r="Y10" s="187" t="str">
        <f>+I10</f>
        <v>DIC 31</v>
      </c>
      <c r="Z10" s="188"/>
      <c r="AA10" s="187" t="s">
        <v>0</v>
      </c>
      <c r="AB10" s="187"/>
      <c r="AC10" s="187" t="s">
        <v>0</v>
      </c>
      <c r="AD10" s="187"/>
      <c r="AE10" s="187" t="s">
        <v>0</v>
      </c>
    </row>
    <row r="11" spans="1:31" ht="12" customHeight="1" x14ac:dyDescent="0.25">
      <c r="C11" s="241">
        <v>2023</v>
      </c>
      <c r="D11" s="192"/>
      <c r="E11" s="192">
        <v>2022</v>
      </c>
      <c r="F11" s="192"/>
      <c r="G11" s="192">
        <v>2021</v>
      </c>
      <c r="H11" s="192"/>
      <c r="I11" s="192">
        <v>2020</v>
      </c>
      <c r="J11" s="192"/>
      <c r="K11" s="192">
        <v>2019</v>
      </c>
      <c r="L11" s="188"/>
      <c r="M11" s="189">
        <v>2018</v>
      </c>
      <c r="N11" s="189"/>
      <c r="O11" s="189">
        <v>2017</v>
      </c>
      <c r="P11" s="189"/>
      <c r="Q11" s="190"/>
      <c r="R11" s="188"/>
      <c r="S11" s="193">
        <f>+C11</f>
        <v>2023</v>
      </c>
      <c r="T11" s="194"/>
      <c r="U11" s="194">
        <f>+E11</f>
        <v>2022</v>
      </c>
      <c r="V11" s="188"/>
      <c r="W11" s="194">
        <f>+G11</f>
        <v>2021</v>
      </c>
      <c r="X11" s="194"/>
      <c r="Y11" s="194">
        <f>+I11</f>
        <v>2020</v>
      </c>
      <c r="Z11" s="188"/>
      <c r="AA11" s="189">
        <f>+K11</f>
        <v>2019</v>
      </c>
      <c r="AB11" s="189"/>
      <c r="AC11" s="189">
        <f>+M11</f>
        <v>2018</v>
      </c>
      <c r="AD11" s="189"/>
      <c r="AE11" s="189">
        <f>+O11</f>
        <v>2017</v>
      </c>
    </row>
    <row r="12" spans="1:31" x14ac:dyDescent="0.2">
      <c r="A12" s="195" t="s">
        <v>6</v>
      </c>
      <c r="B12" s="195" t="s">
        <v>7</v>
      </c>
      <c r="C12" s="195"/>
      <c r="D12" s="195"/>
      <c r="E12" s="195"/>
      <c r="F12" s="195"/>
      <c r="G12" s="195"/>
      <c r="H12" s="195"/>
      <c r="I12" s="195"/>
      <c r="J12" s="195"/>
      <c r="K12" s="196"/>
      <c r="L12" s="185"/>
      <c r="M12" s="196"/>
      <c r="N12" s="196"/>
      <c r="O12" s="196"/>
      <c r="P12" s="196"/>
      <c r="Q12" s="195" t="s">
        <v>6</v>
      </c>
      <c r="R12" s="195" t="s">
        <v>8</v>
      </c>
      <c r="S12" s="195"/>
      <c r="T12" s="195"/>
      <c r="U12" s="195"/>
      <c r="V12" s="195"/>
      <c r="W12" s="185"/>
      <c r="X12" s="185"/>
      <c r="Y12" s="185"/>
    </row>
    <row r="13" spans="1:31" x14ac:dyDescent="0.2">
      <c r="B13" s="185" t="s">
        <v>178</v>
      </c>
      <c r="C13" s="7">
        <f>+C14+C17+C25+C29</f>
        <v>66170662414.779999</v>
      </c>
      <c r="D13" s="7"/>
      <c r="E13" s="7">
        <f>+E14+E17+E25+E29</f>
        <v>38087291246.199997</v>
      </c>
      <c r="F13" s="7"/>
      <c r="G13" s="7">
        <f>+G14+G17+G25+G29</f>
        <v>28328538087</v>
      </c>
      <c r="H13" s="7"/>
      <c r="I13" s="7">
        <f>+I14+I17+I25+I29</f>
        <v>15685381572</v>
      </c>
      <c r="J13" s="7"/>
      <c r="K13" s="7">
        <f>+K14+K17+K25+K29</f>
        <v>13120921350</v>
      </c>
      <c r="L13" s="7"/>
      <c r="M13" s="170">
        <f>+M14+M17+M25+M29</f>
        <v>15828971277</v>
      </c>
      <c r="N13" s="197"/>
      <c r="O13" s="170">
        <f>+O14+O17+O25+O29</f>
        <v>11146445491</v>
      </c>
      <c r="P13" s="86"/>
      <c r="Q13" s="198"/>
      <c r="R13" s="185" t="s">
        <v>178</v>
      </c>
      <c r="S13" s="170">
        <f>S15+S19+S29+S33+S37</f>
        <v>7132839443.7600002</v>
      </c>
      <c r="T13" s="170"/>
      <c r="U13" s="170">
        <f>U15+U19+U29+U33+U37</f>
        <v>5176855796</v>
      </c>
      <c r="V13" s="170"/>
      <c r="W13" s="170">
        <f>W15+W19+W29+W33+W37</f>
        <v>3848561327</v>
      </c>
      <c r="X13" s="170"/>
      <c r="Y13" s="170">
        <f>Y15+Y19+Y29+Y33+Y37</f>
        <v>4834832093</v>
      </c>
      <c r="Z13" s="170"/>
      <c r="AA13" s="170">
        <f>AA15+AA19+AA29+AA33+AA37</f>
        <v>5405538017</v>
      </c>
      <c r="AB13" s="170"/>
      <c r="AC13" s="170">
        <f>AC15+AC19+AC29+AC33+AC37</f>
        <v>7594678230</v>
      </c>
      <c r="AD13" s="197"/>
      <c r="AE13" s="170">
        <f>AE15+AE19+AE29+AE33+AE37</f>
        <v>4167357020</v>
      </c>
    </row>
    <row r="14" spans="1:31" x14ac:dyDescent="0.2">
      <c r="A14" s="185">
        <v>11</v>
      </c>
      <c r="B14" s="185" t="s">
        <v>9</v>
      </c>
      <c r="C14" s="7">
        <f>SUM(C15:C16)</f>
        <v>3862426510.3600001</v>
      </c>
      <c r="D14" s="7"/>
      <c r="E14" s="7">
        <f>SUM(E15:E16)</f>
        <v>445923180.19999999</v>
      </c>
      <c r="F14" s="7"/>
      <c r="G14" s="7">
        <f>SUM(G15:G16)</f>
        <v>548160771</v>
      </c>
      <c r="H14" s="7"/>
      <c r="I14" s="7">
        <f>SUM(I15:I16)</f>
        <v>734259744</v>
      </c>
      <c r="J14" s="7"/>
      <c r="K14" s="7">
        <f>SUM(K15:K16)</f>
        <v>628405009</v>
      </c>
      <c r="L14" s="7"/>
      <c r="M14" s="170">
        <f>SUM(M15:M16)</f>
        <v>3877506311</v>
      </c>
      <c r="N14" s="197"/>
      <c r="O14" s="170">
        <f>SUM(O15:O16)</f>
        <v>832274306</v>
      </c>
      <c r="P14" s="86"/>
      <c r="Q14" s="198"/>
      <c r="R14" s="185"/>
      <c r="S14" s="200"/>
      <c r="T14" s="200"/>
      <c r="U14" s="200"/>
      <c r="V14" s="200"/>
      <c r="W14" s="200"/>
      <c r="X14" s="200"/>
      <c r="Y14" s="200"/>
      <c r="Z14" s="200"/>
      <c r="AA14" s="200"/>
      <c r="AB14" s="200"/>
      <c r="AC14" s="200"/>
      <c r="AD14" s="197"/>
      <c r="AE14" s="200"/>
    </row>
    <row r="15" spans="1:31" x14ac:dyDescent="0.2">
      <c r="A15" s="177">
        <v>1105</v>
      </c>
      <c r="B15" s="177" t="s">
        <v>18</v>
      </c>
      <c r="C15" s="125">
        <v>3653108</v>
      </c>
      <c r="D15" s="125"/>
      <c r="E15" s="125">
        <v>5466701</v>
      </c>
      <c r="F15" s="125"/>
      <c r="G15" s="125">
        <v>3820033</v>
      </c>
      <c r="H15" s="125"/>
      <c r="I15" s="125">
        <v>5627688</v>
      </c>
      <c r="J15" s="125"/>
      <c r="K15" s="125">
        <v>1785150</v>
      </c>
      <c r="L15" s="125"/>
      <c r="M15" s="169">
        <v>1387350</v>
      </c>
      <c r="N15" s="199"/>
      <c r="O15" s="169">
        <v>4129650</v>
      </c>
      <c r="P15" s="4"/>
      <c r="Q15" s="184">
        <v>23</v>
      </c>
      <c r="R15" s="185" t="s">
        <v>11</v>
      </c>
      <c r="S15" s="201">
        <f>+S16+S17</f>
        <v>0</v>
      </c>
      <c r="T15" s="201"/>
      <c r="U15" s="201">
        <f>+U16+U17</f>
        <v>0</v>
      </c>
      <c r="V15" s="201"/>
      <c r="W15" s="201">
        <f>+W16+W17</f>
        <v>0</v>
      </c>
      <c r="X15" s="201"/>
      <c r="Y15" s="201">
        <f>+Y16+Y17</f>
        <v>0</v>
      </c>
      <c r="Z15" s="201"/>
      <c r="AA15" s="201">
        <f>+AA16+AA17</f>
        <v>0</v>
      </c>
      <c r="AB15" s="201"/>
      <c r="AC15" s="201">
        <f>+AC16+AC17</f>
        <v>0</v>
      </c>
      <c r="AD15" s="197"/>
      <c r="AE15" s="201">
        <f>+AE16+AE17</f>
        <v>0</v>
      </c>
    </row>
    <row r="16" spans="1:31" x14ac:dyDescent="0.2">
      <c r="A16" s="177">
        <v>1110</v>
      </c>
      <c r="B16" s="177" t="s">
        <v>19</v>
      </c>
      <c r="C16" s="125">
        <f>3802147433.36+56625969</f>
        <v>3858773402.3600001</v>
      </c>
      <c r="D16" s="125"/>
      <c r="E16" s="125">
        <v>440456479.19999999</v>
      </c>
      <c r="F16" s="125"/>
      <c r="G16" s="125">
        <v>544340738</v>
      </c>
      <c r="H16" s="125"/>
      <c r="I16" s="125">
        <f>665754143+62877913</f>
        <v>728632056</v>
      </c>
      <c r="J16" s="125"/>
      <c r="K16" s="125">
        <f>566375352+60244507</f>
        <v>626619859</v>
      </c>
      <c r="L16" s="125"/>
      <c r="M16" s="169">
        <f>55275811+3820843150</f>
        <v>3876118961</v>
      </c>
      <c r="N16" s="199"/>
      <c r="O16" s="169">
        <f>777556299+50588357</f>
        <v>828144656</v>
      </c>
      <c r="P16" s="4"/>
      <c r="Q16" s="181">
        <v>2301</v>
      </c>
      <c r="R16" s="177" t="s">
        <v>77</v>
      </c>
      <c r="S16" s="171"/>
      <c r="T16" s="171"/>
      <c r="U16" s="171"/>
      <c r="V16" s="171"/>
      <c r="W16" s="171"/>
      <c r="X16" s="171"/>
      <c r="Y16" s="171"/>
      <c r="Z16" s="171"/>
      <c r="AA16" s="171"/>
      <c r="AB16" s="171"/>
      <c r="AC16" s="171"/>
      <c r="AD16" s="202"/>
      <c r="AE16" s="171"/>
    </row>
    <row r="17" spans="1:31" x14ac:dyDescent="0.2">
      <c r="A17" s="185">
        <v>13</v>
      </c>
      <c r="B17" s="185" t="s">
        <v>391</v>
      </c>
      <c r="C17" s="7">
        <f>SUM(C18:C24)</f>
        <v>59239666662.599998</v>
      </c>
      <c r="D17" s="7"/>
      <c r="E17" s="7">
        <f>SUM(E18:E24)</f>
        <v>36040454975</v>
      </c>
      <c r="F17" s="7"/>
      <c r="G17" s="7">
        <f>SUM(G18:G24)</f>
        <v>26725045933</v>
      </c>
      <c r="H17" s="7"/>
      <c r="I17" s="7">
        <f>SUM(I18:I24)</f>
        <v>14506278152</v>
      </c>
      <c r="J17" s="7"/>
      <c r="K17" s="7">
        <f>SUM(K18:K24)</f>
        <v>12266358947</v>
      </c>
      <c r="L17" s="7"/>
      <c r="M17" s="170">
        <f>SUM(M18:M24)</f>
        <v>11744065085</v>
      </c>
      <c r="N17" s="197"/>
      <c r="O17" s="170">
        <f>SUM(O18:O24)</f>
        <v>10191201812</v>
      </c>
      <c r="P17" s="86"/>
      <c r="Q17" s="181">
        <v>2302</v>
      </c>
      <c r="R17" s="177" t="s">
        <v>78</v>
      </c>
      <c r="S17" s="169"/>
      <c r="T17" s="169"/>
      <c r="U17" s="169"/>
      <c r="V17" s="169"/>
      <c r="W17" s="169"/>
      <c r="X17" s="169"/>
      <c r="Y17" s="169"/>
      <c r="Z17" s="169"/>
      <c r="AA17" s="169"/>
      <c r="AB17" s="169"/>
      <c r="AC17" s="169"/>
      <c r="AD17" s="199"/>
      <c r="AE17" s="169"/>
    </row>
    <row r="18" spans="1:31" x14ac:dyDescent="0.2">
      <c r="A18" s="177">
        <v>1319</v>
      </c>
      <c r="B18" s="177" t="s">
        <v>392</v>
      </c>
      <c r="C18" s="155">
        <v>66984057740.599998</v>
      </c>
      <c r="D18" s="204"/>
      <c r="E18" s="155">
        <v>43784846053</v>
      </c>
      <c r="F18" s="204"/>
      <c r="G18" s="155">
        <v>29081118552</v>
      </c>
      <c r="H18" s="204"/>
      <c r="I18" s="155">
        <v>16839711709</v>
      </c>
      <c r="J18" s="204"/>
      <c r="K18" s="155">
        <v>14943464324</v>
      </c>
      <c r="L18" s="204"/>
      <c r="M18" s="203">
        <v>12427800198</v>
      </c>
      <c r="N18" s="199"/>
      <c r="O18" s="169">
        <v>10752651826</v>
      </c>
      <c r="P18" s="4"/>
      <c r="S18" s="203"/>
      <c r="T18" s="203"/>
      <c r="U18" s="203"/>
      <c r="V18" s="203"/>
      <c r="W18" s="203"/>
      <c r="X18" s="203"/>
      <c r="Y18" s="203"/>
      <c r="Z18" s="203"/>
      <c r="AA18" s="203"/>
      <c r="AB18" s="203"/>
      <c r="AC18" s="203"/>
      <c r="AD18" s="199"/>
      <c r="AE18" s="203"/>
    </row>
    <row r="19" spans="1:31" x14ac:dyDescent="0.2">
      <c r="A19" s="177">
        <v>1324</v>
      </c>
      <c r="B19" s="177" t="s">
        <v>393</v>
      </c>
      <c r="C19" s="155"/>
      <c r="D19" s="204"/>
      <c r="E19" s="155"/>
      <c r="F19" s="204"/>
      <c r="G19" s="155">
        <v>351312687</v>
      </c>
      <c r="H19" s="204"/>
      <c r="I19" s="155">
        <v>16625000</v>
      </c>
      <c r="J19" s="204"/>
      <c r="K19" s="155">
        <v>16625000</v>
      </c>
      <c r="L19" s="204"/>
      <c r="M19" s="203"/>
      <c r="N19" s="199"/>
      <c r="O19" s="203"/>
      <c r="P19" s="4"/>
      <c r="Q19" s="184">
        <v>24</v>
      </c>
      <c r="R19" s="185" t="s">
        <v>12</v>
      </c>
      <c r="S19" s="170">
        <f>SUM(S20:S28)</f>
        <v>3735149489.7599998</v>
      </c>
      <c r="T19" s="170"/>
      <c r="U19" s="170">
        <f>SUM(U20:U28)</f>
        <v>3450387928</v>
      </c>
      <c r="V19" s="170"/>
      <c r="W19" s="170">
        <f>SUM(W20:W28)</f>
        <v>2269666562</v>
      </c>
      <c r="X19" s="170"/>
      <c r="Y19" s="170">
        <f>SUM(Y20:Y28)</f>
        <v>3211455854</v>
      </c>
      <c r="Z19" s="170"/>
      <c r="AA19" s="170">
        <f>SUM(AA20:AA28)</f>
        <v>3901109053</v>
      </c>
      <c r="AB19" s="170"/>
      <c r="AC19" s="170">
        <f>SUM(AC20:AC28)</f>
        <v>6465282227</v>
      </c>
      <c r="AD19" s="197"/>
      <c r="AE19" s="170">
        <f>SUM(AE20:AE28)</f>
        <v>2913739362</v>
      </c>
    </row>
    <row r="20" spans="1:31" x14ac:dyDescent="0.2">
      <c r="B20" s="177" t="s">
        <v>20</v>
      </c>
      <c r="C20" s="155"/>
      <c r="D20" s="204"/>
      <c r="E20" s="155"/>
      <c r="F20" s="204"/>
      <c r="G20" s="155"/>
      <c r="H20" s="204"/>
      <c r="I20" s="155"/>
      <c r="J20" s="204"/>
      <c r="K20" s="155"/>
      <c r="L20" s="204"/>
      <c r="M20" s="203"/>
      <c r="N20" s="199"/>
      <c r="O20" s="169"/>
      <c r="P20" s="4"/>
      <c r="Q20" s="181">
        <v>2401</v>
      </c>
      <c r="R20" s="177" t="s">
        <v>67</v>
      </c>
      <c r="S20" s="169">
        <v>1818587417.0999999</v>
      </c>
      <c r="T20" s="169"/>
      <c r="U20" s="169">
        <v>1938038418</v>
      </c>
      <c r="V20" s="169"/>
      <c r="W20" s="169">
        <v>935036882</v>
      </c>
      <c r="X20" s="169"/>
      <c r="Y20" s="169">
        <v>662022221</v>
      </c>
      <c r="Z20" s="169"/>
      <c r="AA20" s="169">
        <v>825141317</v>
      </c>
      <c r="AB20" s="169"/>
      <c r="AC20" s="169">
        <v>3896602000</v>
      </c>
      <c r="AD20" s="199"/>
      <c r="AE20" s="169">
        <v>374931653</v>
      </c>
    </row>
    <row r="21" spans="1:31" x14ac:dyDescent="0.2">
      <c r="B21" s="177" t="s">
        <v>97</v>
      </c>
      <c r="C21" s="155"/>
      <c r="D21" s="204"/>
      <c r="E21" s="155"/>
      <c r="F21" s="204"/>
      <c r="G21" s="155"/>
      <c r="H21" s="204"/>
      <c r="I21" s="155"/>
      <c r="J21" s="204"/>
      <c r="K21" s="155"/>
      <c r="L21" s="204"/>
      <c r="M21" s="203"/>
      <c r="N21" s="199"/>
      <c r="O21" s="169"/>
      <c r="P21" s="4"/>
      <c r="Q21" s="181">
        <v>2425</v>
      </c>
      <c r="R21" s="177" t="s">
        <v>21</v>
      </c>
      <c r="S21" s="169">
        <v>0</v>
      </c>
      <c r="T21" s="169"/>
      <c r="U21" s="169">
        <v>0</v>
      </c>
      <c r="V21" s="169"/>
      <c r="W21" s="169">
        <v>73467402</v>
      </c>
      <c r="X21" s="169"/>
      <c r="Y21" s="169"/>
      <c r="Z21" s="169"/>
      <c r="AA21" s="169"/>
      <c r="AB21" s="169"/>
      <c r="AC21" s="169"/>
      <c r="AD21" s="199"/>
      <c r="AE21" s="169"/>
    </row>
    <row r="22" spans="1:31" x14ac:dyDescent="0.2">
      <c r="B22" s="177" t="s">
        <v>96</v>
      </c>
      <c r="C22" s="155"/>
      <c r="D22" s="204"/>
      <c r="E22" s="155"/>
      <c r="F22" s="204"/>
      <c r="G22" s="155"/>
      <c r="H22" s="204"/>
      <c r="I22" s="155"/>
      <c r="J22" s="204"/>
      <c r="K22" s="155"/>
      <c r="L22" s="204"/>
      <c r="M22" s="203"/>
      <c r="N22" s="199"/>
      <c r="O22" s="169"/>
      <c r="P22" s="4"/>
      <c r="Q22" s="181">
        <v>2436</v>
      </c>
      <c r="R22" s="177" t="s">
        <v>23</v>
      </c>
      <c r="S22" s="169">
        <v>167024802.30000001</v>
      </c>
      <c r="T22" s="169"/>
      <c r="U22" s="169">
        <v>154005000</v>
      </c>
      <c r="V22" s="169"/>
      <c r="W22" s="169">
        <v>102854459</v>
      </c>
      <c r="X22" s="169"/>
      <c r="Y22" s="169">
        <v>57289053</v>
      </c>
      <c r="Z22" s="169"/>
      <c r="AA22" s="169">
        <v>31356146</v>
      </c>
      <c r="AB22" s="169"/>
      <c r="AC22" s="169">
        <v>61914501</v>
      </c>
      <c r="AD22" s="199"/>
      <c r="AE22" s="169">
        <v>53131569</v>
      </c>
    </row>
    <row r="23" spans="1:31" x14ac:dyDescent="0.2">
      <c r="A23" s="177">
        <v>1384</v>
      </c>
      <c r="B23" s="177" t="s">
        <v>394</v>
      </c>
      <c r="C23" s="155"/>
      <c r="D23" s="204"/>
      <c r="E23" s="155"/>
      <c r="F23" s="204"/>
      <c r="G23" s="155">
        <v>317120914</v>
      </c>
      <c r="H23" s="204"/>
      <c r="I23" s="155">
        <v>674447663</v>
      </c>
      <c r="J23" s="204"/>
      <c r="K23" s="155">
        <v>330775843</v>
      </c>
      <c r="L23" s="204"/>
      <c r="M23" s="203">
        <f>19641971+710282772</f>
        <v>729924743</v>
      </c>
      <c r="N23" s="199"/>
      <c r="O23" s="169">
        <v>596307538</v>
      </c>
      <c r="P23" s="4"/>
      <c r="Q23" s="181">
        <v>2437</v>
      </c>
      <c r="R23" s="177" t="s">
        <v>80</v>
      </c>
      <c r="S23" s="171"/>
      <c r="T23" s="171"/>
      <c r="U23" s="171"/>
      <c r="V23" s="171"/>
      <c r="W23" s="171"/>
      <c r="X23" s="171"/>
      <c r="Y23" s="171"/>
      <c r="Z23" s="171"/>
      <c r="AA23" s="171"/>
      <c r="AB23" s="171"/>
      <c r="AC23" s="171"/>
      <c r="AD23" s="199"/>
      <c r="AE23" s="171"/>
    </row>
    <row r="24" spans="1:31" x14ac:dyDescent="0.2">
      <c r="A24" s="177">
        <v>1386</v>
      </c>
      <c r="B24" s="177" t="s">
        <v>397</v>
      </c>
      <c r="C24" s="155">
        <v>-7744391078</v>
      </c>
      <c r="D24" s="204"/>
      <c r="E24" s="155">
        <v>-7744391078</v>
      </c>
      <c r="F24" s="204"/>
      <c r="G24" s="155">
        <v>-3024506220</v>
      </c>
      <c r="H24" s="204"/>
      <c r="I24" s="155">
        <v>-3024506220</v>
      </c>
      <c r="J24" s="204"/>
      <c r="K24" s="155">
        <v>-3024506220</v>
      </c>
      <c r="L24" s="204"/>
      <c r="M24" s="203">
        <v>-1413659856</v>
      </c>
      <c r="N24" s="199"/>
      <c r="O24" s="169">
        <v>-1157757552</v>
      </c>
      <c r="P24" s="4"/>
      <c r="Q24" s="181">
        <v>2440</v>
      </c>
      <c r="R24" s="177" t="s">
        <v>24</v>
      </c>
      <c r="S24" s="171">
        <v>0</v>
      </c>
      <c r="T24" s="171"/>
      <c r="U24" s="171"/>
      <c r="V24" s="171"/>
      <c r="W24" s="171"/>
      <c r="X24" s="171"/>
      <c r="Y24" s="171"/>
      <c r="Z24" s="171"/>
      <c r="AA24" s="171"/>
      <c r="AB24" s="171"/>
      <c r="AC24" s="171"/>
      <c r="AD24" s="199"/>
      <c r="AE24" s="171"/>
    </row>
    <row r="25" spans="1:31" x14ac:dyDescent="0.2">
      <c r="A25" s="185">
        <v>15</v>
      </c>
      <c r="B25" s="185" t="s">
        <v>13</v>
      </c>
      <c r="C25" s="7">
        <f>+C26-C27+C28</f>
        <v>3068569241.8200002</v>
      </c>
      <c r="D25" s="7"/>
      <c r="E25" s="7">
        <f>+E26-E27+E28</f>
        <v>1600913091</v>
      </c>
      <c r="F25" s="7"/>
      <c r="G25" s="7">
        <f>+G26-G27+G28</f>
        <v>1055331383</v>
      </c>
      <c r="H25" s="7"/>
      <c r="I25" s="7">
        <f>+I26-I27+I28</f>
        <v>444843676</v>
      </c>
      <c r="J25" s="7"/>
      <c r="K25" s="7">
        <f>+K26-K27+K28</f>
        <v>226157394</v>
      </c>
      <c r="L25" s="7"/>
      <c r="M25" s="170">
        <f>+M26-M27+M28</f>
        <v>207399881</v>
      </c>
      <c r="N25" s="197"/>
      <c r="O25" s="170">
        <f>+O26-O27+O28</f>
        <v>122969373</v>
      </c>
      <c r="P25" s="86"/>
      <c r="Q25" s="181">
        <v>2450</v>
      </c>
      <c r="R25" s="177" t="s">
        <v>25</v>
      </c>
      <c r="S25" s="169"/>
      <c r="T25" s="169"/>
      <c r="U25" s="169"/>
      <c r="V25" s="169"/>
      <c r="W25" s="169"/>
      <c r="X25" s="169"/>
      <c r="Y25" s="169">
        <v>319625000</v>
      </c>
      <c r="Z25" s="169"/>
      <c r="AA25" s="169">
        <v>319625000</v>
      </c>
      <c r="AB25" s="169"/>
      <c r="AC25" s="169"/>
      <c r="AD25" s="199"/>
      <c r="AE25" s="169"/>
    </row>
    <row r="26" spans="1:31" x14ac:dyDescent="0.2">
      <c r="A26" s="177">
        <v>1518</v>
      </c>
      <c r="B26" s="177" t="s">
        <v>27</v>
      </c>
      <c r="C26" s="169">
        <v>3068569241.8200002</v>
      </c>
      <c r="D26" s="169"/>
      <c r="E26" s="169">
        <v>1600913091</v>
      </c>
      <c r="F26" s="169"/>
      <c r="G26" s="169">
        <v>1055331383</v>
      </c>
      <c r="H26" s="169"/>
      <c r="I26" s="169">
        <v>444843676</v>
      </c>
      <c r="J26" s="169"/>
      <c r="K26" s="169">
        <v>226157394</v>
      </c>
      <c r="L26" s="169"/>
      <c r="M26" s="169">
        <v>207399881</v>
      </c>
      <c r="N26" s="169"/>
      <c r="O26" s="169">
        <v>122969373</v>
      </c>
      <c r="P26" s="4"/>
      <c r="Q26" s="181">
        <v>2455</v>
      </c>
      <c r="R26" s="177" t="s">
        <v>26</v>
      </c>
      <c r="S26" s="169">
        <v>1043578.36</v>
      </c>
      <c r="T26" s="169"/>
      <c r="U26" s="169">
        <v>2792117</v>
      </c>
      <c r="V26" s="169"/>
      <c r="W26" s="169">
        <v>258821000</v>
      </c>
      <c r="X26" s="169"/>
      <c r="Y26" s="169">
        <v>246437667</v>
      </c>
      <c r="Z26" s="169"/>
      <c r="AA26" s="169">
        <v>189680643</v>
      </c>
      <c r="AB26" s="169"/>
      <c r="AC26" s="169">
        <v>227063290</v>
      </c>
      <c r="AD26" s="199"/>
      <c r="AE26" s="169">
        <v>172600938</v>
      </c>
    </row>
    <row r="27" spans="1:31" x14ac:dyDescent="0.2">
      <c r="A27" s="177">
        <v>1580</v>
      </c>
      <c r="B27" s="177" t="s">
        <v>28</v>
      </c>
      <c r="C27" s="169"/>
      <c r="D27" s="169"/>
      <c r="E27" s="169"/>
      <c r="F27" s="169"/>
      <c r="G27" s="169"/>
      <c r="H27" s="169"/>
      <c r="I27" s="169"/>
      <c r="J27" s="169"/>
      <c r="K27" s="169"/>
      <c r="L27" s="169"/>
      <c r="M27" s="169"/>
      <c r="N27" s="169"/>
      <c r="O27" s="169"/>
      <c r="P27" s="4"/>
      <c r="Q27" s="177">
        <v>2490</v>
      </c>
      <c r="R27" s="177" t="s">
        <v>94</v>
      </c>
      <c r="S27" s="203">
        <f>1761992108-13498416</f>
        <v>1748493692</v>
      </c>
      <c r="T27" s="203"/>
      <c r="U27" s="203">
        <v>1355552393</v>
      </c>
      <c r="V27" s="203"/>
      <c r="W27" s="203">
        <v>899486819</v>
      </c>
      <c r="X27" s="203"/>
      <c r="Y27" s="203">
        <f>2891830854-965748941</f>
        <v>1926081913</v>
      </c>
      <c r="Z27" s="203"/>
      <c r="AA27" s="203">
        <v>2535305947</v>
      </c>
      <c r="AB27" s="203"/>
      <c r="AC27" s="203">
        <v>2279702436</v>
      </c>
      <c r="AD27" s="199"/>
      <c r="AE27" s="203">
        <v>2313075202</v>
      </c>
    </row>
    <row r="28" spans="1:31" x14ac:dyDescent="0.2">
      <c r="B28" s="177" t="s">
        <v>329</v>
      </c>
      <c r="C28" s="169"/>
      <c r="D28" s="169"/>
      <c r="E28" s="169"/>
      <c r="F28" s="169"/>
      <c r="G28" s="169"/>
      <c r="H28" s="169"/>
      <c r="I28" s="169"/>
      <c r="J28" s="169"/>
      <c r="K28" s="169"/>
      <c r="L28" s="169"/>
      <c r="M28" s="169"/>
      <c r="N28" s="169"/>
      <c r="O28" s="169"/>
      <c r="P28" s="4"/>
      <c r="Q28" s="181">
        <v>2460</v>
      </c>
      <c r="R28" s="177" t="s">
        <v>4</v>
      </c>
      <c r="S28" s="169"/>
      <c r="T28" s="169"/>
      <c r="U28" s="169"/>
      <c r="V28" s="169"/>
      <c r="W28" s="169"/>
      <c r="X28" s="169"/>
      <c r="Y28" s="169"/>
      <c r="Z28" s="169"/>
      <c r="AA28" s="169"/>
      <c r="AB28" s="169"/>
      <c r="AC28" s="169"/>
      <c r="AD28" s="199"/>
      <c r="AE28" s="169"/>
    </row>
    <row r="29" spans="1:31" x14ac:dyDescent="0.2">
      <c r="A29" s="185">
        <v>19</v>
      </c>
      <c r="B29" s="185" t="s">
        <v>15</v>
      </c>
      <c r="C29" s="7">
        <f>SUM(C30:C31)-C32</f>
        <v>0</v>
      </c>
      <c r="D29" s="7"/>
      <c r="E29" s="7">
        <f>SUM(E30:E31)-E32</f>
        <v>0</v>
      </c>
      <c r="F29" s="7"/>
      <c r="G29" s="7">
        <f>SUM(G30:G31)-G32</f>
        <v>0</v>
      </c>
      <c r="H29" s="7"/>
      <c r="I29" s="7">
        <f>SUM(I30:I31)-I32</f>
        <v>0</v>
      </c>
      <c r="J29" s="7"/>
      <c r="K29" s="7">
        <f>SUM(K30:K31)-K32</f>
        <v>0</v>
      </c>
      <c r="L29" s="7"/>
      <c r="M29" s="170">
        <f>SUM(M30:M31)-M32</f>
        <v>0</v>
      </c>
      <c r="N29" s="197"/>
      <c r="O29" s="170">
        <f>SUM(O30:O31)-O32</f>
        <v>0</v>
      </c>
      <c r="P29" s="86"/>
      <c r="Q29" s="184">
        <v>25</v>
      </c>
      <c r="R29" s="185" t="s">
        <v>14</v>
      </c>
      <c r="S29" s="170">
        <f>SUM(S30:S31)</f>
        <v>484724553</v>
      </c>
      <c r="T29" s="170"/>
      <c r="U29" s="170">
        <f>SUM(U30:U31)</f>
        <v>331430948</v>
      </c>
      <c r="V29" s="170"/>
      <c r="W29" s="170">
        <f>SUM(W30:W31)</f>
        <v>186715416</v>
      </c>
      <c r="X29" s="170"/>
      <c r="Y29" s="170">
        <f>SUM(Y30:Y31)</f>
        <v>231196890</v>
      </c>
      <c r="Z29" s="170"/>
      <c r="AA29" s="170">
        <f>SUM(AA30:AA31)</f>
        <v>112249615</v>
      </c>
      <c r="AB29" s="170"/>
      <c r="AC29" s="170">
        <f>SUM(AC30:AC31)</f>
        <v>236396003</v>
      </c>
      <c r="AD29" s="197"/>
      <c r="AE29" s="170">
        <f>SUM(AE30:AE31)</f>
        <v>350617658</v>
      </c>
    </row>
    <row r="30" spans="1:31" x14ac:dyDescent="0.2">
      <c r="A30" s="177">
        <v>1905</v>
      </c>
      <c r="B30" s="177" t="s">
        <v>30</v>
      </c>
      <c r="C30" s="125"/>
      <c r="D30" s="125"/>
      <c r="E30" s="125"/>
      <c r="F30" s="125"/>
      <c r="G30" s="125"/>
      <c r="H30" s="125"/>
      <c r="I30" s="125"/>
      <c r="J30" s="125"/>
      <c r="K30" s="125"/>
      <c r="L30" s="125"/>
      <c r="M30" s="169"/>
      <c r="N30" s="199"/>
      <c r="O30" s="169"/>
      <c r="P30" s="4"/>
      <c r="Q30" s="181">
        <v>2505</v>
      </c>
      <c r="R30" s="177" t="s">
        <v>29</v>
      </c>
      <c r="S30" s="169">
        <v>484724553</v>
      </c>
      <c r="T30" s="169"/>
      <c r="U30" s="169">
        <v>331430948</v>
      </c>
      <c r="V30" s="169"/>
      <c r="W30" s="169">
        <v>186715416</v>
      </c>
      <c r="X30" s="169"/>
      <c r="Y30" s="169">
        <v>231196890</v>
      </c>
      <c r="Z30" s="169"/>
      <c r="AA30" s="169">
        <f>8304239+103945376</f>
        <v>112249615</v>
      </c>
      <c r="AB30" s="169"/>
      <c r="AC30" s="169">
        <f>7428048+228967955</f>
        <v>236396003</v>
      </c>
      <c r="AD30" s="199"/>
      <c r="AE30" s="169">
        <f>7670363+342947295</f>
        <v>350617658</v>
      </c>
    </row>
    <row r="31" spans="1:31" x14ac:dyDescent="0.2">
      <c r="A31" s="177">
        <v>1996</v>
      </c>
      <c r="B31" s="177" t="s">
        <v>84</v>
      </c>
      <c r="C31" s="125"/>
      <c r="D31" s="125"/>
      <c r="E31" s="125"/>
      <c r="F31" s="125"/>
      <c r="G31" s="125"/>
      <c r="H31" s="125"/>
      <c r="I31" s="125"/>
      <c r="J31" s="125"/>
      <c r="K31" s="125"/>
      <c r="L31" s="125"/>
      <c r="M31" s="169"/>
      <c r="N31" s="199"/>
      <c r="O31" s="169"/>
      <c r="P31" s="4"/>
      <c r="Q31" s="181">
        <v>2510</v>
      </c>
      <c r="R31" s="177" t="s">
        <v>31</v>
      </c>
      <c r="S31" s="169"/>
      <c r="T31" s="169"/>
      <c r="U31" s="169"/>
      <c r="V31" s="169"/>
      <c r="W31" s="169"/>
      <c r="X31" s="169"/>
      <c r="Y31" s="169"/>
      <c r="Z31" s="169"/>
      <c r="AA31" s="169"/>
      <c r="AB31" s="169"/>
      <c r="AC31" s="169"/>
      <c r="AD31" s="199"/>
      <c r="AE31" s="169"/>
    </row>
    <row r="32" spans="1:31" x14ac:dyDescent="0.2">
      <c r="A32" s="177">
        <v>1997</v>
      </c>
      <c r="B32" s="177" t="s">
        <v>85</v>
      </c>
      <c r="C32" s="125"/>
      <c r="D32" s="125"/>
      <c r="E32" s="125"/>
      <c r="F32" s="125"/>
      <c r="G32" s="125"/>
      <c r="H32" s="125"/>
      <c r="I32" s="125"/>
      <c r="J32" s="125"/>
      <c r="K32" s="125"/>
      <c r="L32" s="125"/>
      <c r="M32" s="169"/>
      <c r="N32" s="199"/>
      <c r="O32" s="169"/>
      <c r="P32" s="4"/>
      <c r="S32" s="203"/>
      <c r="T32" s="203"/>
      <c r="U32" s="203"/>
      <c r="V32" s="203"/>
      <c r="W32" s="203"/>
      <c r="X32" s="203"/>
      <c r="Y32" s="203"/>
      <c r="Z32" s="203"/>
      <c r="AA32" s="203"/>
      <c r="AB32" s="203"/>
      <c r="AC32" s="203"/>
      <c r="AD32" s="199"/>
      <c r="AE32" s="203"/>
    </row>
    <row r="33" spans="1:31" x14ac:dyDescent="0.2">
      <c r="C33" s="206"/>
      <c r="D33" s="206"/>
      <c r="E33" s="206"/>
      <c r="F33" s="206"/>
      <c r="G33" s="206"/>
      <c r="H33" s="206"/>
      <c r="I33" s="206"/>
      <c r="J33" s="206"/>
      <c r="K33" s="206"/>
      <c r="L33" s="206"/>
      <c r="M33" s="169"/>
      <c r="N33" s="199"/>
      <c r="O33" s="169"/>
      <c r="Q33" s="184">
        <v>27</v>
      </c>
      <c r="R33" s="185" t="s">
        <v>16</v>
      </c>
      <c r="S33" s="170">
        <f>SUM(S34:S36)</f>
        <v>2909377858</v>
      </c>
      <c r="T33" s="170"/>
      <c r="U33" s="170">
        <f>SUM(U34:U36)</f>
        <v>1392179349</v>
      </c>
      <c r="V33" s="170"/>
      <c r="W33" s="170">
        <f>SUM(W34:W36)</f>
        <v>1392179349</v>
      </c>
      <c r="X33" s="170"/>
      <c r="Y33" s="170">
        <f>SUM(Y34:Y36)</f>
        <v>1392179349</v>
      </c>
      <c r="Z33" s="170"/>
      <c r="AA33" s="170">
        <f>SUM(AA34:AA36)</f>
        <v>1392179349</v>
      </c>
      <c r="AB33" s="170"/>
      <c r="AC33" s="170">
        <f>SUM(AC34:AC36)</f>
        <v>893000000</v>
      </c>
      <c r="AD33" s="197"/>
      <c r="AE33" s="170">
        <f>SUM(AE34:AE36)</f>
        <v>903000000</v>
      </c>
    </row>
    <row r="34" spans="1:31" x14ac:dyDescent="0.2">
      <c r="B34" s="185" t="s">
        <v>179</v>
      </c>
      <c r="C34" s="7">
        <f>C35+C37+C44+C56</f>
        <v>40592598243.800003</v>
      </c>
      <c r="D34" s="7"/>
      <c r="E34" s="7">
        <f>E35+E37+E44+E56</f>
        <v>41165102513.800003</v>
      </c>
      <c r="F34" s="7"/>
      <c r="G34" s="7">
        <f>G35+G37+G44+G56</f>
        <v>38219356979</v>
      </c>
      <c r="H34" s="7"/>
      <c r="I34" s="7">
        <f>I35+I37+I44+I56</f>
        <v>38015831280</v>
      </c>
      <c r="J34" s="7"/>
      <c r="K34" s="7">
        <f>K35+K37+K44+K56</f>
        <v>38834766645</v>
      </c>
      <c r="L34" s="7"/>
      <c r="M34" s="170">
        <f>M35+M37+M44+M56</f>
        <v>12472801582</v>
      </c>
      <c r="N34" s="197"/>
      <c r="O34" s="170">
        <f>O35+O37+O44+O56</f>
        <v>8258958173</v>
      </c>
      <c r="P34" s="86"/>
      <c r="Q34" s="181">
        <v>2710</v>
      </c>
      <c r="R34" s="177" t="s">
        <v>33</v>
      </c>
      <c r="S34" s="169">
        <v>2909377858</v>
      </c>
      <c r="T34" s="169"/>
      <c r="U34" s="169">
        <v>1392179349</v>
      </c>
      <c r="V34" s="169"/>
      <c r="W34" s="169">
        <v>1392179349</v>
      </c>
      <c r="X34" s="169"/>
      <c r="Y34" s="169">
        <v>1392179349</v>
      </c>
      <c r="Z34" s="169"/>
      <c r="AA34" s="169">
        <v>1392179349</v>
      </c>
      <c r="AB34" s="169"/>
      <c r="AC34" s="169">
        <v>893000000</v>
      </c>
      <c r="AD34" s="199"/>
      <c r="AE34" s="169">
        <v>903000000</v>
      </c>
    </row>
    <row r="35" spans="1:31" x14ac:dyDescent="0.2">
      <c r="A35" s="185">
        <v>12</v>
      </c>
      <c r="B35" s="185" t="s">
        <v>10</v>
      </c>
      <c r="C35" s="7">
        <f>+C36</f>
        <v>62877913</v>
      </c>
      <c r="D35" s="7"/>
      <c r="E35" s="7">
        <f>+E36</f>
        <v>62877913</v>
      </c>
      <c r="F35" s="7"/>
      <c r="G35" s="7">
        <f>+G36</f>
        <v>62877913</v>
      </c>
      <c r="H35" s="7"/>
      <c r="I35" s="7">
        <f>+I36</f>
        <v>0</v>
      </c>
      <c r="J35" s="7"/>
      <c r="K35" s="7">
        <f>+K36</f>
        <v>0</v>
      </c>
      <c r="L35" s="7"/>
      <c r="M35" s="170">
        <f>+M36</f>
        <v>0</v>
      </c>
      <c r="N35" s="197"/>
      <c r="O35" s="170">
        <f>+O36</f>
        <v>0</v>
      </c>
      <c r="P35" s="86"/>
      <c r="Q35" s="181">
        <v>2715</v>
      </c>
      <c r="R35" s="177" t="s">
        <v>34</v>
      </c>
      <c r="S35" s="169"/>
      <c r="T35" s="169"/>
      <c r="U35" s="169"/>
      <c r="V35" s="169"/>
      <c r="W35" s="169"/>
      <c r="X35" s="169"/>
      <c r="Y35" s="169"/>
      <c r="Z35" s="169"/>
      <c r="AA35" s="169"/>
      <c r="AB35" s="169"/>
      <c r="AC35" s="169"/>
      <c r="AD35" s="199"/>
      <c r="AE35" s="169"/>
    </row>
    <row r="36" spans="1:31" x14ac:dyDescent="0.2">
      <c r="A36" s="177">
        <v>1207</v>
      </c>
      <c r="B36" s="177" t="s">
        <v>83</v>
      </c>
      <c r="C36" s="125">
        <v>62877913</v>
      </c>
      <c r="D36" s="125"/>
      <c r="E36" s="125">
        <v>62877913</v>
      </c>
      <c r="F36" s="125"/>
      <c r="G36" s="125">
        <v>62877913</v>
      </c>
      <c r="H36" s="125"/>
      <c r="I36" s="125"/>
      <c r="J36" s="125"/>
      <c r="K36" s="125"/>
      <c r="L36" s="125"/>
      <c r="M36" s="169"/>
      <c r="N36" s="199"/>
      <c r="O36" s="169"/>
      <c r="P36" s="4"/>
      <c r="Q36" s="181">
        <v>2790</v>
      </c>
      <c r="R36" s="177" t="s">
        <v>318</v>
      </c>
      <c r="S36" s="169"/>
      <c r="T36" s="169"/>
      <c r="U36" s="169"/>
      <c r="V36" s="169"/>
      <c r="W36" s="169"/>
      <c r="X36" s="169"/>
      <c r="Y36" s="169"/>
      <c r="Z36" s="169"/>
      <c r="AA36" s="169"/>
      <c r="AB36" s="169"/>
      <c r="AC36" s="169"/>
      <c r="AD36" s="199"/>
      <c r="AE36" s="169"/>
    </row>
    <row r="37" spans="1:31" x14ac:dyDescent="0.2">
      <c r="A37" s="185">
        <v>13</v>
      </c>
      <c r="B37" s="185" t="s">
        <v>396</v>
      </c>
      <c r="C37" s="207">
        <f>SUM(C38:C43)</f>
        <v>0</v>
      </c>
      <c r="D37" s="207"/>
      <c r="E37" s="207">
        <f>SUM(E38:E43)</f>
        <v>0</v>
      </c>
      <c r="F37" s="207"/>
      <c r="G37" s="207">
        <f>SUM(G38:G43)</f>
        <v>0</v>
      </c>
      <c r="H37" s="207"/>
      <c r="I37" s="207">
        <f>SUM(I38:I43)</f>
        <v>0</v>
      </c>
      <c r="J37" s="207"/>
      <c r="K37" s="207">
        <f>SUM(K38:K43)</f>
        <v>0</v>
      </c>
      <c r="L37" s="207"/>
      <c r="M37" s="170">
        <f>SUM(M38:M43)</f>
        <v>1213829193</v>
      </c>
      <c r="N37" s="197"/>
      <c r="O37" s="170">
        <f>SUM(O38:O43)</f>
        <v>19641971</v>
      </c>
      <c r="P37" s="208"/>
      <c r="Q37" s="184">
        <v>29</v>
      </c>
      <c r="R37" s="185" t="s">
        <v>87</v>
      </c>
      <c r="S37" s="170">
        <f>SUM(S38:S39)</f>
        <v>3587543</v>
      </c>
      <c r="T37" s="170"/>
      <c r="U37" s="170">
        <f>SUM(U38:U39)</f>
        <v>2857571</v>
      </c>
      <c r="V37" s="170"/>
      <c r="W37" s="170">
        <f>SUM(W38:W39)</f>
        <v>0</v>
      </c>
      <c r="X37" s="170"/>
      <c r="Y37" s="170">
        <f>SUM(Y38:Y39)</f>
        <v>0</v>
      </c>
      <c r="Z37" s="170"/>
      <c r="AA37" s="170">
        <f>SUM(AA38:AA39)</f>
        <v>0</v>
      </c>
      <c r="AB37" s="170"/>
      <c r="AC37" s="170">
        <f>SUM(AC38:AC39)</f>
        <v>0</v>
      </c>
      <c r="AD37" s="197"/>
      <c r="AE37" s="170">
        <f>SUM(AE38:AE39)</f>
        <v>0</v>
      </c>
    </row>
    <row r="38" spans="1:31" x14ac:dyDescent="0.2">
      <c r="A38" s="177">
        <v>1385</v>
      </c>
      <c r="B38" s="177" t="s">
        <v>395</v>
      </c>
      <c r="C38" s="125"/>
      <c r="D38" s="125"/>
      <c r="E38" s="125"/>
      <c r="F38" s="125"/>
      <c r="G38" s="125"/>
      <c r="H38" s="125"/>
      <c r="I38" s="125"/>
      <c r="J38" s="125"/>
      <c r="K38" s="125"/>
      <c r="L38" s="125"/>
      <c r="M38" s="169"/>
      <c r="N38" s="199"/>
      <c r="O38" s="169">
        <v>19641971</v>
      </c>
      <c r="P38" s="8"/>
      <c r="Q38" s="181">
        <v>2996</v>
      </c>
      <c r="R38" s="177" t="s">
        <v>88</v>
      </c>
      <c r="S38" s="169"/>
      <c r="T38" s="169"/>
      <c r="U38" s="169"/>
      <c r="V38" s="169"/>
      <c r="W38" s="169"/>
      <c r="X38" s="169"/>
      <c r="Y38" s="169"/>
      <c r="Z38" s="169"/>
      <c r="AA38" s="169"/>
      <c r="AB38" s="169"/>
      <c r="AC38" s="169"/>
      <c r="AD38" s="199"/>
      <c r="AE38" s="169"/>
    </row>
    <row r="39" spans="1:31" x14ac:dyDescent="0.2">
      <c r="B39" s="177" t="s">
        <v>182</v>
      </c>
      <c r="C39" s="125"/>
      <c r="D39" s="125"/>
      <c r="E39" s="125"/>
      <c r="F39" s="125"/>
      <c r="G39" s="125"/>
      <c r="H39" s="125"/>
      <c r="I39" s="125"/>
      <c r="J39" s="125"/>
      <c r="K39" s="125"/>
      <c r="L39" s="125"/>
      <c r="M39" s="169"/>
      <c r="N39" s="199"/>
      <c r="O39" s="169"/>
      <c r="P39" s="4"/>
      <c r="Q39" s="177">
        <v>2910</v>
      </c>
      <c r="R39" s="204" t="s">
        <v>387</v>
      </c>
      <c r="S39" s="203">
        <v>3587543</v>
      </c>
      <c r="T39" s="203"/>
      <c r="U39" s="203">
        <v>2857571</v>
      </c>
      <c r="V39" s="203"/>
      <c r="W39" s="203"/>
      <c r="X39" s="203"/>
      <c r="Y39" s="203"/>
      <c r="Z39" s="203"/>
      <c r="AA39" s="203"/>
      <c r="AB39" s="203"/>
      <c r="AC39" s="203"/>
      <c r="AD39" s="199"/>
      <c r="AE39" s="203"/>
    </row>
    <row r="40" spans="1:31" x14ac:dyDescent="0.2">
      <c r="B40" s="177" t="s">
        <v>20</v>
      </c>
      <c r="C40" s="125"/>
      <c r="D40" s="125"/>
      <c r="E40" s="125"/>
      <c r="F40" s="125"/>
      <c r="G40" s="125"/>
      <c r="H40" s="125"/>
      <c r="I40" s="125"/>
      <c r="J40" s="125"/>
      <c r="K40" s="125"/>
      <c r="L40" s="125"/>
      <c r="M40" s="203">
        <v>1213829193</v>
      </c>
      <c r="N40" s="199"/>
      <c r="O40" s="169"/>
      <c r="P40" s="4"/>
      <c r="Q40" s="198"/>
      <c r="R40" s="185" t="s">
        <v>179</v>
      </c>
      <c r="S40" s="170">
        <f>SUM(S41+S46)</f>
        <v>0</v>
      </c>
      <c r="T40" s="170"/>
      <c r="U40" s="170">
        <f>SUM(U41+U46)</f>
        <v>0</v>
      </c>
      <c r="V40" s="170"/>
      <c r="W40" s="170">
        <f>SUM(W41+W46)</f>
        <v>0</v>
      </c>
      <c r="X40" s="170"/>
      <c r="Y40" s="170">
        <f>SUM(Y41+Y46)</f>
        <v>0</v>
      </c>
      <c r="Z40" s="170"/>
      <c r="AA40" s="170">
        <f>SUM(AA41+AA46)</f>
        <v>0</v>
      </c>
      <c r="AB40" s="170"/>
      <c r="AC40" s="170">
        <f>SUM(AC41+AC46)</f>
        <v>0</v>
      </c>
      <c r="AD40" s="197"/>
      <c r="AE40" s="170">
        <f>SUM(AE41+AE46)</f>
        <v>0</v>
      </c>
    </row>
    <row r="41" spans="1:31" x14ac:dyDescent="0.2">
      <c r="B41" s="177" t="s">
        <v>22</v>
      </c>
      <c r="C41" s="125"/>
      <c r="D41" s="125"/>
      <c r="E41" s="125"/>
      <c r="F41" s="125"/>
      <c r="G41" s="125"/>
      <c r="H41" s="125"/>
      <c r="I41" s="125"/>
      <c r="J41" s="125"/>
      <c r="K41" s="125"/>
      <c r="L41" s="125"/>
      <c r="M41" s="169"/>
      <c r="N41" s="199"/>
      <c r="O41" s="169"/>
      <c r="P41" s="4"/>
      <c r="Q41" s="185">
        <v>24</v>
      </c>
      <c r="R41" s="185" t="s">
        <v>101</v>
      </c>
      <c r="S41" s="170">
        <f>SUM(S42:S45)</f>
        <v>0</v>
      </c>
      <c r="T41" s="170"/>
      <c r="U41" s="170">
        <f>SUM(U42:U45)</f>
        <v>0</v>
      </c>
      <c r="V41" s="170"/>
      <c r="W41" s="170">
        <f>SUM(W42:W45)</f>
        <v>0</v>
      </c>
      <c r="X41" s="170"/>
      <c r="Y41" s="170">
        <f>SUM(Y42:Y45)</f>
        <v>0</v>
      </c>
      <c r="Z41" s="170"/>
      <c r="AA41" s="170">
        <f>SUM(AA42:AA45)</f>
        <v>0</v>
      </c>
      <c r="AB41" s="170"/>
      <c r="AC41" s="170">
        <f>SUM(AC42:AC45)</f>
        <v>0</v>
      </c>
      <c r="AD41" s="197"/>
      <c r="AE41" s="170">
        <f>SUM(AE42:AE45)</f>
        <v>0</v>
      </c>
    </row>
    <row r="42" spans="1:31" x14ac:dyDescent="0.2">
      <c r="B42" s="177" t="s">
        <v>97</v>
      </c>
      <c r="C42" s="125"/>
      <c r="D42" s="125"/>
      <c r="E42" s="125"/>
      <c r="F42" s="125"/>
      <c r="G42" s="125"/>
      <c r="H42" s="125"/>
      <c r="I42" s="125"/>
      <c r="J42" s="125"/>
      <c r="K42" s="125"/>
      <c r="L42" s="125"/>
      <c r="M42" s="169"/>
      <c r="N42" s="199"/>
      <c r="O42" s="169"/>
      <c r="P42" s="4"/>
      <c r="Q42" s="177">
        <v>2425</v>
      </c>
      <c r="R42" s="177" t="s">
        <v>21</v>
      </c>
      <c r="S42" s="169"/>
      <c r="T42" s="169"/>
      <c r="U42" s="169"/>
      <c r="V42" s="169"/>
      <c r="W42" s="169"/>
      <c r="X42" s="169"/>
      <c r="Y42" s="169"/>
      <c r="Z42" s="169"/>
      <c r="AA42" s="169"/>
      <c r="AB42" s="169"/>
      <c r="AC42" s="169"/>
      <c r="AD42" s="199"/>
      <c r="AE42" s="169"/>
    </row>
    <row r="43" spans="1:31" x14ac:dyDescent="0.2">
      <c r="B43" s="177" t="s">
        <v>100</v>
      </c>
      <c r="C43" s="125"/>
      <c r="D43" s="125"/>
      <c r="E43" s="125"/>
      <c r="F43" s="125"/>
      <c r="G43" s="125"/>
      <c r="H43" s="125"/>
      <c r="I43" s="125"/>
      <c r="J43" s="125"/>
      <c r="K43" s="125"/>
      <c r="L43" s="125"/>
      <c r="M43" s="169"/>
      <c r="N43" s="199"/>
      <c r="O43" s="169"/>
      <c r="P43" s="4"/>
      <c r="Q43" s="177">
        <v>2450</v>
      </c>
      <c r="R43" s="177" t="s">
        <v>102</v>
      </c>
      <c r="S43" s="169"/>
      <c r="T43" s="169"/>
      <c r="U43" s="169"/>
      <c r="V43" s="169"/>
      <c r="W43" s="169"/>
      <c r="X43" s="169"/>
      <c r="Y43" s="169"/>
      <c r="Z43" s="169"/>
      <c r="AA43" s="169"/>
      <c r="AB43" s="169"/>
      <c r="AC43" s="169"/>
      <c r="AD43" s="199"/>
      <c r="AE43" s="169"/>
    </row>
    <row r="44" spans="1:31" x14ac:dyDescent="0.2">
      <c r="A44" s="185">
        <v>16</v>
      </c>
      <c r="B44" s="185" t="s">
        <v>17</v>
      </c>
      <c r="C44" s="7">
        <f>SUM(C45:C55)</f>
        <v>39493481233.5</v>
      </c>
      <c r="D44" s="7"/>
      <c r="E44" s="7">
        <f>SUM(E45:E55)</f>
        <v>40322465563.5</v>
      </c>
      <c r="F44" s="7"/>
      <c r="G44" s="7">
        <f>SUM(G45:G55)</f>
        <v>37829851780</v>
      </c>
      <c r="H44" s="7"/>
      <c r="I44" s="7">
        <f>SUM(I45:I55)</f>
        <v>37888817782</v>
      </c>
      <c r="J44" s="7"/>
      <c r="K44" s="7">
        <f>SUM(K45:K55)</f>
        <v>38789284828</v>
      </c>
      <c r="L44" s="7"/>
      <c r="M44" s="170">
        <f>SUM(M45:M55)</f>
        <v>11212294148</v>
      </c>
      <c r="N44" s="197"/>
      <c r="O44" s="170">
        <f>SUM(O45:O55)</f>
        <v>8152929888</v>
      </c>
      <c r="P44" s="86"/>
      <c r="Q44" s="177">
        <v>2490</v>
      </c>
      <c r="R44" s="177" t="s">
        <v>103</v>
      </c>
      <c r="S44" s="169"/>
      <c r="T44" s="169"/>
      <c r="U44" s="169"/>
      <c r="V44" s="169"/>
      <c r="W44" s="169"/>
      <c r="X44" s="169"/>
      <c r="Y44" s="169"/>
      <c r="Z44" s="169"/>
      <c r="AA44" s="169"/>
      <c r="AB44" s="169"/>
      <c r="AC44" s="169"/>
      <c r="AD44" s="199"/>
      <c r="AE44" s="169"/>
    </row>
    <row r="45" spans="1:31" x14ac:dyDescent="0.2">
      <c r="A45" s="177">
        <v>1605</v>
      </c>
      <c r="B45" s="177" t="s">
        <v>38</v>
      </c>
      <c r="C45" s="125">
        <v>6050427787</v>
      </c>
      <c r="D45" s="125"/>
      <c r="E45" s="125">
        <v>6050427787</v>
      </c>
      <c r="F45" s="125"/>
      <c r="G45" s="125">
        <v>6050427787</v>
      </c>
      <c r="H45" s="125"/>
      <c r="I45" s="125">
        <v>6050427787</v>
      </c>
      <c r="J45" s="125"/>
      <c r="K45" s="125">
        <v>6050427787</v>
      </c>
      <c r="L45" s="125"/>
      <c r="M45" s="169">
        <v>1615907378</v>
      </c>
      <c r="N45" s="199"/>
      <c r="O45" s="169">
        <v>779074870</v>
      </c>
      <c r="P45" s="4"/>
      <c r="R45" s="177" t="s">
        <v>327</v>
      </c>
      <c r="S45" s="203"/>
      <c r="T45" s="203"/>
      <c r="U45" s="203"/>
      <c r="V45" s="203"/>
      <c r="W45" s="203"/>
      <c r="X45" s="203"/>
      <c r="Y45" s="203"/>
      <c r="Z45" s="203"/>
      <c r="AA45" s="203"/>
      <c r="AB45" s="203"/>
      <c r="AC45" s="203"/>
      <c r="AD45" s="199"/>
      <c r="AE45" s="203"/>
    </row>
    <row r="46" spans="1:31" x14ac:dyDescent="0.2">
      <c r="A46" s="177">
        <v>1635</v>
      </c>
      <c r="B46" s="177" t="s">
        <v>93</v>
      </c>
      <c r="C46" s="125">
        <v>2308290192.2199998</v>
      </c>
      <c r="D46" s="125"/>
      <c r="E46" s="125">
        <v>1036063028.66</v>
      </c>
      <c r="F46" s="125"/>
      <c r="G46" s="125">
        <v>3513000</v>
      </c>
      <c r="H46" s="125"/>
      <c r="I46" s="125">
        <v>3513000</v>
      </c>
      <c r="J46" s="125"/>
      <c r="K46" s="125"/>
      <c r="L46" s="125"/>
      <c r="M46" s="169">
        <v>2443200657</v>
      </c>
      <c r="N46" s="199"/>
      <c r="O46" s="169"/>
      <c r="P46" s="4"/>
      <c r="Q46" s="184">
        <v>25</v>
      </c>
      <c r="R46" s="185" t="s">
        <v>14</v>
      </c>
      <c r="S46" s="170">
        <f>+S47+S48</f>
        <v>0</v>
      </c>
      <c r="T46" s="170"/>
      <c r="U46" s="170">
        <f>+U47+U48</f>
        <v>0</v>
      </c>
      <c r="V46" s="170"/>
      <c r="W46" s="170">
        <f>+W47+W48</f>
        <v>0</v>
      </c>
      <c r="X46" s="170"/>
      <c r="Y46" s="170">
        <f>+Y47+Y48</f>
        <v>0</v>
      </c>
      <c r="Z46" s="170"/>
      <c r="AA46" s="170">
        <f>+AA47+AA48</f>
        <v>0</v>
      </c>
      <c r="AB46" s="170"/>
      <c r="AC46" s="170">
        <f>+AC47+AC48</f>
        <v>0</v>
      </c>
      <c r="AD46" s="197"/>
      <c r="AE46" s="170">
        <f>+AE47+AE48</f>
        <v>0</v>
      </c>
    </row>
    <row r="47" spans="1:31" x14ac:dyDescent="0.2">
      <c r="A47" s="177">
        <v>1636</v>
      </c>
      <c r="B47" s="177" t="s">
        <v>189</v>
      </c>
      <c r="C47" s="125">
        <v>151492617.41999999</v>
      </c>
      <c r="D47" s="125"/>
      <c r="E47" s="125">
        <v>1524613774.05</v>
      </c>
      <c r="F47" s="125"/>
      <c r="G47" s="125"/>
      <c r="H47" s="125"/>
      <c r="I47" s="125"/>
      <c r="J47" s="125"/>
      <c r="K47" s="125"/>
      <c r="L47" s="125"/>
      <c r="M47" s="169">
        <v>2400000</v>
      </c>
      <c r="N47" s="199"/>
      <c r="O47" s="169">
        <v>2400000</v>
      </c>
      <c r="Q47" s="181">
        <v>2505</v>
      </c>
      <c r="R47" s="177" t="s">
        <v>29</v>
      </c>
      <c r="S47" s="169"/>
      <c r="T47" s="169"/>
      <c r="U47" s="169"/>
      <c r="V47" s="169"/>
      <c r="W47" s="169"/>
      <c r="X47" s="169"/>
      <c r="Y47" s="169"/>
      <c r="Z47" s="169"/>
      <c r="AA47" s="169"/>
      <c r="AB47" s="169"/>
      <c r="AC47" s="169"/>
      <c r="AD47" s="199"/>
      <c r="AE47" s="169"/>
    </row>
    <row r="48" spans="1:31" x14ac:dyDescent="0.2">
      <c r="A48" s="177">
        <v>1640</v>
      </c>
      <c r="B48" s="177" t="s">
        <v>39</v>
      </c>
      <c r="C48" s="125">
        <f>30563423067+39145900</f>
        <v>30602568967</v>
      </c>
      <c r="D48" s="125"/>
      <c r="E48" s="125">
        <v>30563423067.459999</v>
      </c>
      <c r="F48" s="125"/>
      <c r="G48" s="125">
        <v>30563423067</v>
      </c>
      <c r="H48" s="125"/>
      <c r="I48" s="125">
        <v>30563423067</v>
      </c>
      <c r="J48" s="125"/>
      <c r="K48" s="125">
        <v>30536671867</v>
      </c>
      <c r="L48" s="125"/>
      <c r="M48" s="169">
        <f>5531455073+1923870201</f>
        <v>7455325274</v>
      </c>
      <c r="N48" s="199"/>
      <c r="O48" s="169">
        <f>5531455000+1923870274</f>
        <v>7455325274</v>
      </c>
      <c r="P48" s="4"/>
      <c r="Q48" s="177">
        <v>2510</v>
      </c>
      <c r="R48" s="177" t="s">
        <v>188</v>
      </c>
      <c r="S48" s="169"/>
      <c r="T48" s="169"/>
      <c r="U48" s="169"/>
      <c r="V48" s="169"/>
      <c r="W48" s="169"/>
      <c r="X48" s="169"/>
      <c r="Y48" s="169"/>
      <c r="Z48" s="169"/>
      <c r="AA48" s="169"/>
      <c r="AB48" s="169"/>
      <c r="AC48" s="169"/>
      <c r="AD48" s="199"/>
      <c r="AE48" s="169"/>
    </row>
    <row r="49" spans="1:31" x14ac:dyDescent="0.2">
      <c r="A49" s="177">
        <v>1655</v>
      </c>
      <c r="B49" s="177" t="s">
        <v>40</v>
      </c>
      <c r="C49" s="125">
        <v>77800624</v>
      </c>
      <c r="D49" s="125"/>
      <c r="E49" s="125">
        <v>77800624</v>
      </c>
      <c r="F49" s="125"/>
      <c r="G49" s="125">
        <v>27590624</v>
      </c>
      <c r="H49" s="125"/>
      <c r="I49" s="125">
        <v>27590624</v>
      </c>
      <c r="J49" s="125"/>
      <c r="K49" s="125">
        <v>27590624</v>
      </c>
      <c r="L49" s="125"/>
      <c r="M49" s="169">
        <v>27590624</v>
      </c>
      <c r="N49" s="199"/>
      <c r="O49" s="169">
        <v>27590624</v>
      </c>
      <c r="P49" s="4"/>
      <c r="R49" s="195" t="s">
        <v>164</v>
      </c>
      <c r="S49" s="209">
        <f>+S40+S13</f>
        <v>7132839443.7600002</v>
      </c>
      <c r="T49" s="209"/>
      <c r="U49" s="209">
        <f>+U40+U13</f>
        <v>5176855796</v>
      </c>
      <c r="V49" s="209"/>
      <c r="W49" s="209">
        <f>+W40+W13</f>
        <v>3848561327</v>
      </c>
      <c r="X49" s="209"/>
      <c r="Y49" s="209">
        <f>+Y40+Y13</f>
        <v>4834832093</v>
      </c>
      <c r="Z49" s="209"/>
      <c r="AA49" s="209">
        <f>+AA40+AA13</f>
        <v>5405538017</v>
      </c>
      <c r="AB49" s="209"/>
      <c r="AC49" s="209">
        <f>+AC40+AC13</f>
        <v>7594678230</v>
      </c>
      <c r="AD49" s="210"/>
      <c r="AE49" s="209">
        <f>+AE40+AE13</f>
        <v>4167357020</v>
      </c>
    </row>
    <row r="50" spans="1:31" x14ac:dyDescent="0.2">
      <c r="A50" s="177">
        <v>1660</v>
      </c>
      <c r="B50" s="177" t="s">
        <v>41</v>
      </c>
      <c r="C50" s="125">
        <v>5234537062.6700001</v>
      </c>
      <c r="D50" s="125"/>
      <c r="E50" s="125">
        <v>5783148454.6700001</v>
      </c>
      <c r="F50" s="125"/>
      <c r="G50" s="125">
        <v>5454301786</v>
      </c>
      <c r="H50" s="125"/>
      <c r="I50" s="125">
        <v>5216823878</v>
      </c>
      <c r="J50" s="125"/>
      <c r="K50" s="125">
        <v>5205068794</v>
      </c>
      <c r="L50" s="125"/>
      <c r="M50" s="169">
        <v>987321484</v>
      </c>
      <c r="N50" s="199"/>
      <c r="O50" s="169">
        <v>987321484</v>
      </c>
      <c r="P50" s="4"/>
      <c r="S50" s="212"/>
      <c r="T50" s="212"/>
      <c r="U50" s="212"/>
      <c r="V50" s="212"/>
      <c r="W50" s="212"/>
      <c r="X50" s="212"/>
      <c r="Y50" s="212"/>
      <c r="Z50" s="212"/>
      <c r="AA50" s="212"/>
      <c r="AB50" s="212"/>
      <c r="AC50" s="212"/>
      <c r="AD50" s="199"/>
      <c r="AE50" s="212"/>
    </row>
    <row r="51" spans="1:31" x14ac:dyDescent="0.2">
      <c r="A51" s="177">
        <v>1665</v>
      </c>
      <c r="B51" s="177" t="s">
        <v>42</v>
      </c>
      <c r="C51" s="125">
        <v>670754118.30999994</v>
      </c>
      <c r="D51" s="125"/>
      <c r="E51" s="125">
        <v>550333221.39999998</v>
      </c>
      <c r="F51" s="125"/>
      <c r="G51" s="125">
        <v>164504640</v>
      </c>
      <c r="H51" s="125"/>
      <c r="I51" s="125">
        <v>138222862</v>
      </c>
      <c r="J51" s="125"/>
      <c r="K51" s="125">
        <v>138222862</v>
      </c>
      <c r="L51" s="125"/>
      <c r="M51" s="169">
        <v>101532882</v>
      </c>
      <c r="N51" s="199"/>
      <c r="O51" s="169">
        <v>101532882</v>
      </c>
      <c r="P51" s="4"/>
      <c r="R51" s="195" t="s">
        <v>165</v>
      </c>
      <c r="S51" s="170">
        <f>+S53</f>
        <v>99630421215.080017</v>
      </c>
      <c r="T51" s="170"/>
      <c r="U51" s="170">
        <f>+U53</f>
        <v>74075537964</v>
      </c>
      <c r="V51" s="170"/>
      <c r="W51" s="170">
        <f>+W53</f>
        <v>62699333739</v>
      </c>
      <c r="X51" s="170"/>
      <c r="Y51" s="170">
        <f>+Y53</f>
        <v>48866380759</v>
      </c>
      <c r="Z51" s="170"/>
      <c r="AA51" s="170">
        <f>+AA53</f>
        <v>46550149978</v>
      </c>
      <c r="AB51" s="170"/>
      <c r="AC51" s="170">
        <f>+AC53</f>
        <v>20707094629</v>
      </c>
      <c r="AD51" s="210"/>
      <c r="AE51" s="170">
        <f>+AE53</f>
        <v>15238046644</v>
      </c>
    </row>
    <row r="52" spans="1:31" x14ac:dyDescent="0.2">
      <c r="A52" s="177">
        <v>1670</v>
      </c>
      <c r="B52" s="177" t="s">
        <v>43</v>
      </c>
      <c r="C52" s="125">
        <v>364503689.07999998</v>
      </c>
      <c r="D52" s="125"/>
      <c r="E52" s="125">
        <v>362498789.07999998</v>
      </c>
      <c r="F52" s="125"/>
      <c r="G52" s="125">
        <v>256001619</v>
      </c>
      <c r="H52" s="125"/>
      <c r="I52" s="125">
        <v>186928982</v>
      </c>
      <c r="J52" s="125"/>
      <c r="K52" s="125">
        <v>186928982</v>
      </c>
      <c r="L52" s="125"/>
      <c r="M52" s="169">
        <v>186928982</v>
      </c>
      <c r="N52" s="199"/>
      <c r="O52" s="169">
        <v>186928982</v>
      </c>
      <c r="P52" s="4"/>
      <c r="S52" s="212"/>
      <c r="T52" s="212"/>
      <c r="U52" s="212"/>
      <c r="V52" s="212"/>
      <c r="W52" s="212"/>
      <c r="X52" s="212"/>
      <c r="Y52" s="212"/>
      <c r="Z52" s="212"/>
      <c r="AA52" s="212"/>
      <c r="AB52" s="212"/>
      <c r="AC52" s="212"/>
      <c r="AD52" s="199"/>
      <c r="AE52" s="212"/>
    </row>
    <row r="53" spans="1:31" x14ac:dyDescent="0.2">
      <c r="A53" s="177">
        <v>1675</v>
      </c>
      <c r="B53" s="177" t="s">
        <v>44</v>
      </c>
      <c r="C53" s="125">
        <v>723378538</v>
      </c>
      <c r="D53" s="125"/>
      <c r="E53" s="125">
        <v>723378538</v>
      </c>
      <c r="F53" s="125"/>
      <c r="G53" s="125">
        <v>723378538</v>
      </c>
      <c r="H53" s="125"/>
      <c r="I53" s="125">
        <v>220378538</v>
      </c>
      <c r="J53" s="125"/>
      <c r="K53" s="125">
        <v>220378538</v>
      </c>
      <c r="L53" s="125"/>
      <c r="M53" s="169">
        <v>220378538</v>
      </c>
      <c r="N53" s="199"/>
      <c r="O53" s="169">
        <v>220378538</v>
      </c>
      <c r="P53" s="4"/>
      <c r="Q53" s="185">
        <v>32</v>
      </c>
      <c r="R53" s="185" t="s">
        <v>51</v>
      </c>
      <c r="S53" s="170">
        <f>SUM(S54:S62)</f>
        <v>99630421215.080017</v>
      </c>
      <c r="T53" s="170"/>
      <c r="U53" s="170">
        <f>SUM(U54:U62)</f>
        <v>74075537964</v>
      </c>
      <c r="V53" s="170"/>
      <c r="W53" s="170">
        <f>SUM(W54:W62)</f>
        <v>62699333739</v>
      </c>
      <c r="X53" s="170"/>
      <c r="Y53" s="170">
        <f>SUM(Y54:Y62)</f>
        <v>48866380759</v>
      </c>
      <c r="Z53" s="170"/>
      <c r="AA53" s="170">
        <f>SUM(AA54:AA62)</f>
        <v>46550149978</v>
      </c>
      <c r="AB53" s="170"/>
      <c r="AC53" s="170">
        <f>SUM(AC54:AC62)</f>
        <v>20707094629</v>
      </c>
      <c r="AD53" s="197"/>
      <c r="AE53" s="170">
        <f>SUM(AE54:AE62)</f>
        <v>15238046644</v>
      </c>
    </row>
    <row r="54" spans="1:31" x14ac:dyDescent="0.2">
      <c r="A54" s="177">
        <v>1680</v>
      </c>
      <c r="B54" s="177" t="s">
        <v>45</v>
      </c>
      <c r="C54" s="125">
        <v>15272000</v>
      </c>
      <c r="D54" s="125"/>
      <c r="E54" s="125">
        <v>11172000</v>
      </c>
      <c r="F54" s="125"/>
      <c r="G54" s="125">
        <v>10172000</v>
      </c>
      <c r="H54" s="125"/>
      <c r="I54" s="125">
        <v>10172000</v>
      </c>
      <c r="J54" s="125"/>
      <c r="K54" s="125">
        <v>10172000</v>
      </c>
      <c r="L54" s="125"/>
      <c r="M54" s="169">
        <v>10172000</v>
      </c>
      <c r="N54" s="199"/>
      <c r="O54" s="169">
        <v>10172000</v>
      </c>
      <c r="P54" s="4"/>
      <c r="Q54" s="177">
        <v>3208</v>
      </c>
      <c r="R54" s="177" t="s">
        <v>47</v>
      </c>
      <c r="S54" s="169">
        <f>65022877007.26+15067706599+321739437</f>
        <v>80412323043.26001</v>
      </c>
      <c r="T54" s="169"/>
      <c r="U54" s="169">
        <v>62460737900</v>
      </c>
      <c r="V54" s="169"/>
      <c r="W54" s="169">
        <v>49377655134</v>
      </c>
      <c r="X54" s="169"/>
      <c r="Y54" s="169">
        <v>46370651394</v>
      </c>
      <c r="Z54" s="169"/>
      <c r="AA54" s="169">
        <v>15260620048</v>
      </c>
      <c r="AB54" s="169"/>
      <c r="AC54" s="169">
        <v>15260620048</v>
      </c>
      <c r="AD54" s="199"/>
      <c r="AE54" s="169">
        <v>15962502930</v>
      </c>
    </row>
    <row r="55" spans="1:31" x14ac:dyDescent="0.2">
      <c r="A55" s="177">
        <v>1685</v>
      </c>
      <c r="B55" s="177" t="s">
        <v>46</v>
      </c>
      <c r="C55" s="125">
        <v>-6705544362.1999998</v>
      </c>
      <c r="D55" s="125"/>
      <c r="E55" s="125">
        <v>-6360393720.8199997</v>
      </c>
      <c r="F55" s="125"/>
      <c r="G55" s="125">
        <v>-5423461281</v>
      </c>
      <c r="H55" s="125"/>
      <c r="I55" s="125">
        <v>-4528662956</v>
      </c>
      <c r="J55" s="125"/>
      <c r="K55" s="125">
        <v>-3586176626</v>
      </c>
      <c r="L55" s="125"/>
      <c r="M55" s="169">
        <v>-1838463671</v>
      </c>
      <c r="N55" s="199"/>
      <c r="O55" s="169">
        <v>-1617794766</v>
      </c>
      <c r="P55" s="4"/>
      <c r="Q55" s="177">
        <v>3225</v>
      </c>
      <c r="R55" s="177" t="s">
        <v>52</v>
      </c>
      <c r="S55" s="169"/>
      <c r="T55" s="169"/>
      <c r="U55" s="169"/>
      <c r="V55" s="169"/>
      <c r="W55" s="169"/>
      <c r="X55" s="169"/>
      <c r="Y55" s="169"/>
      <c r="Z55" s="169"/>
      <c r="AA55" s="169">
        <v>7646099194</v>
      </c>
      <c r="AB55" s="169"/>
      <c r="AC55" s="169"/>
      <c r="AD55" s="199"/>
      <c r="AE55" s="169"/>
    </row>
    <row r="56" spans="1:31" x14ac:dyDescent="0.2">
      <c r="A56" s="185">
        <v>19</v>
      </c>
      <c r="B56" s="185" t="s">
        <v>15</v>
      </c>
      <c r="C56" s="213">
        <f>SUM(C57:C63)</f>
        <v>1036239097.3</v>
      </c>
      <c r="D56" s="213"/>
      <c r="E56" s="213">
        <f>SUM(E57:E63)</f>
        <v>779759037.29999995</v>
      </c>
      <c r="F56" s="213"/>
      <c r="G56" s="213">
        <f>SUM(G57:G63)</f>
        <v>326627286</v>
      </c>
      <c r="H56" s="213"/>
      <c r="I56" s="213">
        <f>SUM(I57:I63)</f>
        <v>127013498</v>
      </c>
      <c r="J56" s="213"/>
      <c r="K56" s="213">
        <f>SUM(K57:K63)</f>
        <v>45481817</v>
      </c>
      <c r="L56" s="213"/>
      <c r="M56" s="201">
        <f>SUM(M57:M63)</f>
        <v>46678241</v>
      </c>
      <c r="N56" s="197"/>
      <c r="O56" s="201">
        <f>SUM(O57:O63)</f>
        <v>86386314</v>
      </c>
      <c r="P56" s="214"/>
      <c r="Q56" s="177">
        <v>3230</v>
      </c>
      <c r="R56" s="177" t="s">
        <v>48</v>
      </c>
      <c r="S56" s="169">
        <v>19218098171.82</v>
      </c>
      <c r="T56" s="169"/>
      <c r="U56" s="169">
        <v>11614800064</v>
      </c>
      <c r="V56" s="169"/>
      <c r="W56" s="169">
        <v>13321678605</v>
      </c>
      <c r="X56" s="169"/>
      <c r="Y56" s="169">
        <v>2495729365</v>
      </c>
      <c r="Z56" s="169"/>
      <c r="AA56" s="169">
        <v>23641835257</v>
      </c>
      <c r="AB56" s="169"/>
      <c r="AC56" s="169">
        <v>5373140104</v>
      </c>
      <c r="AD56" s="199"/>
      <c r="AE56" s="169">
        <v>-797789575</v>
      </c>
    </row>
    <row r="57" spans="1:31" x14ac:dyDescent="0.2">
      <c r="A57" s="177">
        <v>1905</v>
      </c>
      <c r="B57" s="177" t="s">
        <v>316</v>
      </c>
      <c r="C57" s="125"/>
      <c r="D57" s="125"/>
      <c r="E57" s="125"/>
      <c r="F57" s="125"/>
      <c r="G57" s="125"/>
      <c r="H57" s="125"/>
      <c r="I57" s="125"/>
      <c r="J57" s="125"/>
      <c r="K57" s="125"/>
      <c r="L57" s="125"/>
      <c r="M57" s="169"/>
      <c r="N57" s="199"/>
      <c r="O57" s="169"/>
      <c r="P57" s="4"/>
      <c r="Q57" s="177">
        <v>3235</v>
      </c>
      <c r="R57" s="177" t="s">
        <v>388</v>
      </c>
      <c r="S57" s="169"/>
      <c r="T57" s="169"/>
      <c r="U57" s="169"/>
      <c r="V57" s="169"/>
      <c r="W57" s="169"/>
      <c r="X57" s="169"/>
      <c r="Y57" s="169"/>
      <c r="Z57" s="169"/>
      <c r="AA57" s="169">
        <v>1595479</v>
      </c>
      <c r="AB57" s="169"/>
      <c r="AC57" s="169">
        <v>1595479</v>
      </c>
      <c r="AD57" s="199"/>
      <c r="AE57" s="169">
        <v>1594291</v>
      </c>
    </row>
    <row r="58" spans="1:31" x14ac:dyDescent="0.2">
      <c r="A58" s="177">
        <v>1910</v>
      </c>
      <c r="B58" s="177" t="s">
        <v>32</v>
      </c>
      <c r="C58" s="126">
        <f>442115862.3+13705363</f>
        <v>455821225.30000001</v>
      </c>
      <c r="D58" s="126"/>
      <c r="E58" s="126">
        <v>234066227.30000001</v>
      </c>
      <c r="F58" s="126"/>
      <c r="G58" s="126">
        <f>7862992+35976132</f>
        <v>43839124</v>
      </c>
      <c r="H58" s="126"/>
      <c r="I58" s="126">
        <v>36031482</v>
      </c>
      <c r="J58" s="126"/>
      <c r="K58" s="126"/>
      <c r="L58" s="126"/>
      <c r="M58" s="171"/>
      <c r="N58" s="199"/>
      <c r="O58" s="171">
        <v>39708073</v>
      </c>
      <c r="P58" s="5"/>
      <c r="Q58" s="177">
        <v>3240</v>
      </c>
      <c r="R58" s="177" t="s">
        <v>49</v>
      </c>
      <c r="S58" s="169"/>
      <c r="T58" s="169"/>
      <c r="U58" s="169"/>
      <c r="V58" s="169"/>
      <c r="W58" s="169"/>
      <c r="X58" s="169"/>
      <c r="Y58" s="169"/>
      <c r="Z58" s="169"/>
      <c r="AA58" s="169"/>
      <c r="AB58" s="169"/>
      <c r="AC58" s="169"/>
      <c r="AD58" s="199"/>
      <c r="AE58" s="169"/>
    </row>
    <row r="59" spans="1:31" x14ac:dyDescent="0.2">
      <c r="A59" s="177">
        <v>1908</v>
      </c>
      <c r="B59" s="177" t="s">
        <v>386</v>
      </c>
      <c r="C59" s="126"/>
      <c r="D59" s="126"/>
      <c r="E59" s="126">
        <v>0</v>
      </c>
      <c r="F59" s="126"/>
      <c r="G59" s="126"/>
      <c r="H59" s="126"/>
      <c r="I59" s="126"/>
      <c r="J59" s="126"/>
      <c r="K59" s="126"/>
      <c r="L59" s="126"/>
      <c r="M59" s="171"/>
      <c r="N59" s="199"/>
      <c r="O59" s="171"/>
      <c r="P59" s="5"/>
      <c r="Q59" s="177">
        <v>3245</v>
      </c>
      <c r="R59" s="177" t="s">
        <v>53</v>
      </c>
      <c r="S59" s="169"/>
      <c r="T59" s="169"/>
      <c r="U59" s="169"/>
      <c r="V59" s="169"/>
      <c r="W59" s="169"/>
      <c r="X59" s="169"/>
      <c r="Y59" s="169"/>
      <c r="Z59" s="169"/>
      <c r="AA59" s="169"/>
      <c r="AB59" s="169"/>
      <c r="AC59" s="169"/>
      <c r="AD59" s="199"/>
      <c r="AE59" s="169"/>
    </row>
    <row r="60" spans="1:31" x14ac:dyDescent="0.2">
      <c r="A60" s="177">
        <v>1951</v>
      </c>
      <c r="B60" s="177" t="s">
        <v>390</v>
      </c>
      <c r="C60" s="125"/>
      <c r="D60" s="125"/>
      <c r="E60" s="125"/>
      <c r="F60" s="125"/>
      <c r="G60" s="125"/>
      <c r="H60" s="125"/>
      <c r="I60" s="125"/>
      <c r="J60" s="125"/>
      <c r="K60" s="125"/>
      <c r="L60" s="125"/>
      <c r="M60" s="169"/>
      <c r="N60" s="199"/>
      <c r="O60" s="169"/>
      <c r="P60" s="4"/>
      <c r="Q60" s="177">
        <v>3250</v>
      </c>
      <c r="R60" s="177" t="s">
        <v>50</v>
      </c>
      <c r="S60" s="169"/>
      <c r="T60" s="169"/>
      <c r="U60" s="169"/>
      <c r="V60" s="169"/>
      <c r="W60" s="169"/>
      <c r="X60" s="169"/>
      <c r="Y60" s="169"/>
      <c r="Z60" s="169"/>
      <c r="AA60" s="169"/>
      <c r="AB60" s="169"/>
      <c r="AC60" s="169"/>
      <c r="AD60" s="199"/>
      <c r="AE60" s="169"/>
    </row>
    <row r="61" spans="1:31" x14ac:dyDescent="0.2">
      <c r="A61" s="177">
        <v>1970</v>
      </c>
      <c r="B61" s="177" t="s">
        <v>35</v>
      </c>
      <c r="C61" s="125">
        <v>737678916</v>
      </c>
      <c r="D61" s="125"/>
      <c r="E61" s="125">
        <v>621111675</v>
      </c>
      <c r="F61" s="125"/>
      <c r="G61" s="125">
        <v>358207027</v>
      </c>
      <c r="H61" s="125"/>
      <c r="I61" s="125">
        <v>93410530</v>
      </c>
      <c r="J61" s="125"/>
      <c r="K61" s="125">
        <v>63410530</v>
      </c>
      <c r="L61" s="125"/>
      <c r="M61" s="169">
        <v>63410530</v>
      </c>
      <c r="N61" s="199"/>
      <c r="O61" s="169">
        <v>63410530</v>
      </c>
      <c r="P61" s="4"/>
      <c r="Q61" s="177">
        <v>3255</v>
      </c>
      <c r="R61" s="177" t="s">
        <v>54</v>
      </c>
      <c r="S61" s="169"/>
      <c r="T61" s="169"/>
      <c r="U61" s="169"/>
      <c r="V61" s="169"/>
      <c r="W61" s="169"/>
      <c r="X61" s="169"/>
      <c r="Y61" s="169"/>
      <c r="Z61" s="169"/>
      <c r="AA61" s="169"/>
      <c r="AB61" s="169"/>
      <c r="AC61" s="169"/>
      <c r="AD61" s="199"/>
      <c r="AE61" s="169"/>
    </row>
    <row r="62" spans="1:31" x14ac:dyDescent="0.2">
      <c r="A62" s="177">
        <v>1975</v>
      </c>
      <c r="B62" s="177" t="s">
        <v>36</v>
      </c>
      <c r="C62" s="125">
        <v>-157261044</v>
      </c>
      <c r="D62" s="125"/>
      <c r="E62" s="125">
        <v>-75418865</v>
      </c>
      <c r="F62" s="125"/>
      <c r="G62" s="125">
        <v>-75418865</v>
      </c>
      <c r="H62" s="125"/>
      <c r="I62" s="125">
        <v>-2428514</v>
      </c>
      <c r="J62" s="125"/>
      <c r="K62" s="125">
        <v>-17928713</v>
      </c>
      <c r="L62" s="125"/>
      <c r="M62" s="169">
        <v>-16732289</v>
      </c>
      <c r="N62" s="199"/>
      <c r="O62" s="169">
        <v>-16732289</v>
      </c>
      <c r="P62" s="4"/>
      <c r="Q62" s="177">
        <v>3258</v>
      </c>
      <c r="R62" s="177" t="s">
        <v>95</v>
      </c>
      <c r="S62" s="169" t="s">
        <v>403</v>
      </c>
      <c r="T62" s="169"/>
      <c r="U62" s="169"/>
      <c r="V62" s="169"/>
      <c r="W62" s="169"/>
      <c r="X62" s="169"/>
      <c r="Y62" s="169"/>
      <c r="Z62" s="169"/>
      <c r="AA62" s="169"/>
      <c r="AB62" s="169"/>
      <c r="AC62" s="169">
        <v>71738998</v>
      </c>
      <c r="AD62" s="199"/>
      <c r="AE62" s="169">
        <v>71738998</v>
      </c>
    </row>
    <row r="63" spans="1:31" ht="12" thickBot="1" x14ac:dyDescent="0.25">
      <c r="A63" s="177">
        <v>1999</v>
      </c>
      <c r="B63" s="177" t="s">
        <v>37</v>
      </c>
      <c r="C63" s="125"/>
      <c r="D63" s="125"/>
      <c r="E63" s="125"/>
      <c r="F63" s="125"/>
      <c r="G63" s="125"/>
      <c r="H63" s="125"/>
      <c r="I63" s="125"/>
      <c r="J63" s="125"/>
      <c r="K63" s="125"/>
      <c r="L63" s="125"/>
      <c r="M63" s="169"/>
      <c r="N63" s="199"/>
      <c r="O63" s="169"/>
      <c r="P63" s="4"/>
      <c r="R63" s="185" t="s">
        <v>180</v>
      </c>
      <c r="S63" s="215">
        <f>+S49+S51</f>
        <v>106763260658.84001</v>
      </c>
      <c r="T63" s="215"/>
      <c r="U63" s="215">
        <f>+U49+U51</f>
        <v>79252393760</v>
      </c>
      <c r="V63" s="215"/>
      <c r="W63" s="215">
        <f>+W49+W51</f>
        <v>66547895066</v>
      </c>
      <c r="X63" s="215"/>
      <c r="Y63" s="215">
        <f>+Y49+Y51</f>
        <v>53701212852</v>
      </c>
      <c r="Z63" s="215"/>
      <c r="AA63" s="215">
        <f>+AA49+AA51</f>
        <v>51955687995</v>
      </c>
      <c r="AB63" s="215"/>
      <c r="AC63" s="215">
        <f>+AC49+AC51</f>
        <v>28301772859</v>
      </c>
      <c r="AD63" s="197"/>
      <c r="AE63" s="215">
        <f>+AE49+AE51</f>
        <v>19405403664</v>
      </c>
    </row>
    <row r="64" spans="1:31" ht="12.75" thickTop="1" thickBot="1" x14ac:dyDescent="0.25">
      <c r="B64" s="185" t="s">
        <v>181</v>
      </c>
      <c r="C64" s="216">
        <f>+C13+C34</f>
        <v>106763260658.58</v>
      </c>
      <c r="D64" s="216"/>
      <c r="E64" s="216">
        <f>+E13+E34</f>
        <v>79252393760</v>
      </c>
      <c r="F64" s="216"/>
      <c r="G64" s="216">
        <f>+G13+G34</f>
        <v>66547895066</v>
      </c>
      <c r="H64" s="216"/>
      <c r="I64" s="216">
        <f>+I13+I34</f>
        <v>53701212852</v>
      </c>
      <c r="J64" s="216"/>
      <c r="K64" s="216">
        <f>+K13+K34</f>
        <v>51955687995</v>
      </c>
      <c r="L64" s="216"/>
      <c r="M64" s="215">
        <f>+M13+M34</f>
        <v>28301772859</v>
      </c>
      <c r="N64" s="197"/>
      <c r="O64" s="215">
        <f>+O13+O34</f>
        <v>19405403664</v>
      </c>
      <c r="P64" s="86"/>
      <c r="S64" s="212">
        <f>+S63-C64</f>
        <v>0.260009765625</v>
      </c>
      <c r="T64" s="212"/>
      <c r="U64" s="212">
        <f>+U63-E64</f>
        <v>0</v>
      </c>
      <c r="V64" s="212"/>
      <c r="W64" s="212">
        <f>+W63-G64</f>
        <v>0</v>
      </c>
      <c r="X64" s="212"/>
      <c r="Y64" s="212">
        <f>+Y63-I64</f>
        <v>0</v>
      </c>
      <c r="Z64" s="212"/>
      <c r="AA64" s="212"/>
      <c r="AB64" s="212"/>
      <c r="AC64" s="212"/>
      <c r="AD64" s="199"/>
      <c r="AE64" s="212"/>
    </row>
    <row r="65" spans="1:31" ht="12" thickTop="1" x14ac:dyDescent="0.2">
      <c r="B65" s="185" t="s">
        <v>81</v>
      </c>
      <c r="C65" s="217">
        <f>SUM(C66:C71)</f>
        <v>0</v>
      </c>
      <c r="D65" s="217"/>
      <c r="E65" s="217">
        <f>SUM(E66:E71)</f>
        <v>0</v>
      </c>
      <c r="F65" s="217"/>
      <c r="G65" s="217">
        <f>SUM(G66:G71)</f>
        <v>0</v>
      </c>
      <c r="H65" s="217"/>
      <c r="I65" s="217">
        <f>SUM(I66:I71)</f>
        <v>0</v>
      </c>
      <c r="J65" s="217"/>
      <c r="K65" s="217">
        <f>SUM(K66:K71)</f>
        <v>0</v>
      </c>
      <c r="L65" s="217"/>
      <c r="M65" s="218">
        <f>SUM(M66:M71)</f>
        <v>0</v>
      </c>
      <c r="N65" s="197"/>
      <c r="O65" s="218">
        <f>SUM(O66:O71)</f>
        <v>0</v>
      </c>
      <c r="P65" s="219"/>
      <c r="S65" s="212"/>
      <c r="T65" s="212"/>
      <c r="U65" s="212"/>
      <c r="V65" s="212"/>
      <c r="W65" s="212"/>
      <c r="X65" s="212"/>
      <c r="Y65" s="212"/>
      <c r="Z65" s="212"/>
      <c r="AA65" s="212"/>
      <c r="AB65" s="212"/>
      <c r="AC65" s="212"/>
      <c r="AD65" s="199"/>
      <c r="AE65" s="212"/>
    </row>
    <row r="66" spans="1:31" x14ac:dyDescent="0.2">
      <c r="A66" s="177">
        <v>8120</v>
      </c>
      <c r="B66" s="177" t="s">
        <v>90</v>
      </c>
      <c r="C66" s="203">
        <v>1422057381</v>
      </c>
      <c r="D66" s="203"/>
      <c r="E66" s="203">
        <v>1422057381</v>
      </c>
      <c r="F66" s="203"/>
      <c r="G66" s="203">
        <v>1422057381</v>
      </c>
      <c r="H66" s="203"/>
      <c r="I66" s="203">
        <v>1422057381</v>
      </c>
      <c r="J66" s="203"/>
      <c r="K66" s="203">
        <v>456358746</v>
      </c>
      <c r="L66" s="203"/>
      <c r="M66" s="203"/>
      <c r="N66" s="199"/>
      <c r="O66" s="169"/>
      <c r="P66" s="4"/>
      <c r="R66" s="185" t="s">
        <v>183</v>
      </c>
      <c r="S66" s="218">
        <f>SUM(S68:S70)</f>
        <v>0</v>
      </c>
      <c r="T66" s="218"/>
      <c r="U66" s="218">
        <f>SUM(U68:U70)</f>
        <v>0</v>
      </c>
      <c r="V66" s="218"/>
      <c r="W66" s="218">
        <f>SUM(W68:W70)</f>
        <v>0</v>
      </c>
      <c r="X66" s="218"/>
      <c r="Y66" s="218">
        <f>SUM(Y68:Y70)</f>
        <v>0</v>
      </c>
      <c r="Z66" s="218"/>
      <c r="AA66" s="218">
        <f>SUM(AA68:AA70)</f>
        <v>0</v>
      </c>
      <c r="AB66" s="218"/>
      <c r="AC66" s="218">
        <f>SUM(AC68:AC70)</f>
        <v>0</v>
      </c>
      <c r="AD66" s="197"/>
      <c r="AE66" s="218">
        <f>SUM(AE68:AE70)</f>
        <v>0</v>
      </c>
    </row>
    <row r="67" spans="1:31" x14ac:dyDescent="0.2">
      <c r="A67" s="177">
        <v>8315</v>
      </c>
      <c r="B67" s="177" t="s">
        <v>190</v>
      </c>
      <c r="C67" s="203">
        <v>926725633</v>
      </c>
      <c r="D67" s="203"/>
      <c r="E67" s="203"/>
      <c r="F67" s="203"/>
      <c r="G67" s="203"/>
      <c r="H67" s="203"/>
      <c r="I67" s="203"/>
      <c r="J67" s="203"/>
      <c r="K67" s="203"/>
      <c r="L67" s="203"/>
      <c r="M67" s="203"/>
      <c r="N67" s="199"/>
      <c r="O67" s="169"/>
      <c r="R67" s="220">
        <f>W63-G64</f>
        <v>0</v>
      </c>
      <c r="S67" s="212"/>
      <c r="T67" s="212"/>
      <c r="U67" s="212"/>
      <c r="V67" s="212"/>
      <c r="W67" s="212"/>
      <c r="X67" s="212"/>
      <c r="Y67" s="212"/>
      <c r="Z67" s="212"/>
      <c r="AA67" s="212"/>
      <c r="AB67" s="212"/>
      <c r="AC67" s="212"/>
      <c r="AD67" s="199"/>
      <c r="AE67" s="221"/>
    </row>
    <row r="68" spans="1:31" x14ac:dyDescent="0.2">
      <c r="A68" s="177">
        <v>8333</v>
      </c>
      <c r="B68" s="177" t="s">
        <v>3</v>
      </c>
      <c r="C68" s="203">
        <v>6417749123</v>
      </c>
      <c r="D68" s="203"/>
      <c r="E68" s="203"/>
      <c r="F68" s="203"/>
      <c r="G68" s="203"/>
      <c r="H68" s="203"/>
      <c r="I68" s="203"/>
      <c r="J68" s="203"/>
      <c r="K68" s="203"/>
      <c r="L68" s="203"/>
      <c r="M68" s="203"/>
      <c r="N68" s="199"/>
      <c r="O68" s="169"/>
      <c r="P68" s="4"/>
      <c r="Q68" s="177">
        <v>9120</v>
      </c>
      <c r="R68" s="177" t="s">
        <v>92</v>
      </c>
      <c r="S68" s="203">
        <v>737182900</v>
      </c>
      <c r="T68" s="203"/>
      <c r="U68" s="203">
        <v>820575143</v>
      </c>
      <c r="V68" s="203"/>
      <c r="W68" s="203">
        <v>820575143</v>
      </c>
      <c r="X68" s="203"/>
      <c r="Y68" s="203">
        <v>820575143</v>
      </c>
      <c r="Z68" s="203"/>
      <c r="AA68" s="203">
        <v>820575143</v>
      </c>
      <c r="AB68" s="203"/>
      <c r="AC68" s="203"/>
      <c r="AD68" s="199"/>
      <c r="AE68" s="169"/>
    </row>
    <row r="69" spans="1:31" x14ac:dyDescent="0.2">
      <c r="A69" s="177">
        <v>8390</v>
      </c>
      <c r="B69" s="177" t="s">
        <v>177</v>
      </c>
      <c r="C69" s="203">
        <v>0</v>
      </c>
      <c r="D69" s="203"/>
      <c r="E69" s="203">
        <v>772545777</v>
      </c>
      <c r="F69" s="203"/>
      <c r="G69" s="203">
        <v>772545777</v>
      </c>
      <c r="H69" s="203"/>
      <c r="I69" s="203">
        <v>772545777</v>
      </c>
      <c r="J69" s="203"/>
      <c r="K69" s="203">
        <v>322004000</v>
      </c>
      <c r="L69" s="203"/>
      <c r="M69" s="203">
        <v>322004000</v>
      </c>
      <c r="N69" s="199"/>
      <c r="O69" s="169">
        <v>322004000</v>
      </c>
      <c r="P69" s="4"/>
      <c r="Q69" s="181">
        <v>93</v>
      </c>
      <c r="R69" s="177" t="s">
        <v>315</v>
      </c>
      <c r="S69" s="203"/>
      <c r="T69" s="203"/>
      <c r="U69" s="203"/>
      <c r="V69" s="203"/>
      <c r="W69" s="203"/>
      <c r="X69" s="203"/>
      <c r="Y69" s="203"/>
      <c r="Z69" s="203"/>
      <c r="AA69" s="203"/>
      <c r="AB69" s="203"/>
      <c r="AC69" s="203"/>
      <c r="AD69" s="199"/>
      <c r="AE69" s="169"/>
    </row>
    <row r="70" spans="1:31" x14ac:dyDescent="0.2">
      <c r="A70" s="177">
        <v>8905</v>
      </c>
      <c r="B70" s="177" t="s">
        <v>91</v>
      </c>
      <c r="C70" s="203">
        <v>-1422057381</v>
      </c>
      <c r="D70" s="203"/>
      <c r="E70" s="203">
        <v>-1422057381</v>
      </c>
      <c r="F70" s="203"/>
      <c r="G70" s="203">
        <v>-1422057381</v>
      </c>
      <c r="H70" s="203"/>
      <c r="I70" s="203">
        <v>-1422057381</v>
      </c>
      <c r="J70" s="203"/>
      <c r="K70" s="203"/>
      <c r="L70" s="203"/>
      <c r="M70" s="203"/>
      <c r="N70" s="199"/>
      <c r="O70" s="169"/>
      <c r="P70" s="4"/>
      <c r="Q70" s="181">
        <v>9905</v>
      </c>
      <c r="R70" s="177" t="s">
        <v>86</v>
      </c>
      <c r="S70" s="203">
        <v>-737182900</v>
      </c>
      <c r="T70" s="203"/>
      <c r="U70" s="203">
        <v>-820575143</v>
      </c>
      <c r="V70" s="203"/>
      <c r="W70" s="203">
        <v>-820575143</v>
      </c>
      <c r="X70" s="203"/>
      <c r="Y70" s="203">
        <v>-820575143</v>
      </c>
      <c r="Z70" s="203"/>
      <c r="AA70" s="203">
        <v>-820575143</v>
      </c>
      <c r="AB70" s="203"/>
      <c r="AC70" s="203"/>
      <c r="AD70" s="199"/>
      <c r="AE70" s="169"/>
    </row>
    <row r="71" spans="1:31" x14ac:dyDescent="0.2">
      <c r="A71" s="177">
        <v>8915</v>
      </c>
      <c r="B71" s="177" t="s">
        <v>82</v>
      </c>
      <c r="C71" s="203">
        <f>-6417749123-926725633</f>
        <v>-7344474756</v>
      </c>
      <c r="D71" s="203"/>
      <c r="E71" s="203">
        <v>-772545777</v>
      </c>
      <c r="F71" s="203"/>
      <c r="G71" s="203">
        <v>-772545777</v>
      </c>
      <c r="H71" s="203"/>
      <c r="I71" s="203">
        <v>-772545777</v>
      </c>
      <c r="J71" s="203"/>
      <c r="K71" s="203">
        <v>-778362746</v>
      </c>
      <c r="L71" s="203"/>
      <c r="M71" s="169">
        <v>-322004000</v>
      </c>
      <c r="N71" s="169"/>
      <c r="O71" s="169">
        <v>-322004000</v>
      </c>
      <c r="P71" s="4"/>
      <c r="Q71" s="181"/>
      <c r="S71" s="203"/>
      <c r="T71" s="203"/>
      <c r="U71" s="203"/>
      <c r="V71" s="203"/>
      <c r="W71" s="203"/>
      <c r="X71" s="203"/>
      <c r="Y71" s="212"/>
      <c r="Z71" s="212"/>
      <c r="AA71" s="212"/>
      <c r="AB71" s="212"/>
      <c r="AC71" s="221"/>
      <c r="AD71" s="200"/>
      <c r="AE71" s="221"/>
    </row>
    <row r="72" spans="1:31" x14ac:dyDescent="0.2">
      <c r="C72" s="204"/>
      <c r="D72" s="204"/>
      <c r="E72" s="204"/>
      <c r="F72" s="204"/>
      <c r="G72" s="204"/>
      <c r="H72" s="204"/>
      <c r="I72" s="203"/>
      <c r="J72" s="203"/>
      <c r="K72" s="169"/>
      <c r="L72" s="222"/>
      <c r="M72" s="169"/>
      <c r="N72" s="169"/>
      <c r="O72" s="169"/>
      <c r="P72" s="4"/>
      <c r="Q72" s="181"/>
      <c r="S72" s="212"/>
      <c r="T72" s="212"/>
      <c r="U72" s="212"/>
      <c r="V72" s="212"/>
      <c r="W72" s="212"/>
      <c r="X72" s="212"/>
      <c r="Y72" s="221"/>
      <c r="Z72" s="200"/>
      <c r="AA72" s="221"/>
      <c r="AB72" s="212"/>
      <c r="AC72" s="212"/>
      <c r="AD72" s="212"/>
      <c r="AE72" s="212"/>
    </row>
    <row r="73" spans="1:31" x14ac:dyDescent="0.2">
      <c r="C73" s="223"/>
      <c r="D73" s="204"/>
      <c r="E73" s="223"/>
      <c r="F73" s="204"/>
      <c r="G73" s="212"/>
      <c r="H73" s="212"/>
      <c r="I73" s="221"/>
      <c r="J73" s="224"/>
      <c r="K73" s="221"/>
      <c r="L73" s="221"/>
      <c r="M73" s="221"/>
      <c r="N73" s="221"/>
      <c r="O73" s="221"/>
      <c r="S73" s="212"/>
      <c r="T73" s="212"/>
      <c r="U73" s="212"/>
      <c r="V73" s="212"/>
      <c r="W73" s="212"/>
      <c r="X73" s="224"/>
      <c r="Y73" s="212"/>
      <c r="Z73" s="212"/>
      <c r="AA73" s="212"/>
      <c r="AB73" s="212"/>
      <c r="AC73" s="212"/>
      <c r="AD73" s="212"/>
      <c r="AE73" s="212"/>
    </row>
    <row r="74" spans="1:31" x14ac:dyDescent="0.2">
      <c r="C74" s="220"/>
      <c r="G74" s="212"/>
      <c r="H74" s="212"/>
      <c r="I74" s="221"/>
      <c r="J74" s="224"/>
      <c r="K74" s="221"/>
      <c r="L74" s="221"/>
      <c r="M74" s="172"/>
      <c r="N74" s="221"/>
      <c r="O74" s="221"/>
      <c r="W74" s="225"/>
    </row>
    <row r="75" spans="1:31" x14ac:dyDescent="0.2">
      <c r="E75" s="212"/>
      <c r="F75" s="212"/>
      <c r="G75" s="221"/>
      <c r="H75" s="224"/>
      <c r="I75" s="221"/>
      <c r="J75" s="221"/>
      <c r="K75" s="221"/>
      <c r="L75" s="221"/>
      <c r="M75" s="221"/>
      <c r="N75" s="221"/>
      <c r="O75" s="221"/>
    </row>
    <row r="76" spans="1:31" x14ac:dyDescent="0.2">
      <c r="E76" s="212"/>
      <c r="F76" s="212"/>
      <c r="G76" s="221"/>
      <c r="H76" s="224"/>
      <c r="I76" s="221"/>
      <c r="J76" s="221"/>
      <c r="K76" s="221"/>
      <c r="L76" s="221"/>
      <c r="M76" s="221"/>
      <c r="N76" s="221"/>
      <c r="O76" s="221"/>
    </row>
    <row r="77" spans="1:31" x14ac:dyDescent="0.2">
      <c r="E77" s="212"/>
      <c r="F77" s="212"/>
      <c r="G77" s="221"/>
      <c r="H77" s="224"/>
      <c r="I77" s="221"/>
      <c r="J77" s="221"/>
      <c r="K77" s="221"/>
      <c r="L77" s="221"/>
      <c r="M77" s="221"/>
      <c r="N77" s="221"/>
      <c r="O77" s="221"/>
    </row>
    <row r="78" spans="1:31" x14ac:dyDescent="0.2">
      <c r="E78" s="212"/>
      <c r="F78" s="212"/>
      <c r="G78" s="221"/>
      <c r="H78" s="224"/>
      <c r="I78" s="221"/>
      <c r="J78" s="221"/>
      <c r="K78" s="221"/>
      <c r="L78" s="221"/>
      <c r="M78" s="221"/>
      <c r="N78" s="221"/>
      <c r="O78" s="221"/>
    </row>
  </sheetData>
  <sheetProtection algorithmName="SHA-512" hashValue="uYpKWPgB2Pcf8ZzOIOsJE4baNVWrGkQDK5Yum9F9HCG/Xv+lD64eQyXCFLolr476fbQBu/k1sI4zYPgWp+L1Ww==" saltValue="AYVFE5EaeiRWHjnjIie4SQ==" spinCount="100000" sheet="1" objects="1" scenarios="1"/>
  <phoneticPr fontId="0" type="noConversion"/>
  <printOptions horizontalCentered="1"/>
  <pageMargins left="0.47244094488188981" right="0.27559055118110237" top="0.43307086614173229" bottom="0.59055118110236227" header="0.19685039370078741" footer="0.39370078740157483"/>
  <pageSetup scale="43" orientation="portrait"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E1047"/>
    <pageSetUpPr fitToPage="1"/>
  </sheetPr>
  <dimension ref="A1:AA106"/>
  <sheetViews>
    <sheetView workbookViewId="0">
      <pane xSplit="2" ySplit="16" topLeftCell="C44" activePane="bottomRight" state="frozen"/>
      <selection pane="topRight" activeCell="C1" sqref="C1"/>
      <selection pane="bottomLeft" activeCell="A17" sqref="A17"/>
      <selection pane="bottomRight" activeCell="C63" sqref="C63"/>
    </sheetView>
  </sheetViews>
  <sheetFormatPr baseColWidth="10" defaultRowHeight="11.25" x14ac:dyDescent="0.2"/>
  <cols>
    <col min="1" max="1" width="7.28515625" style="177" customWidth="1"/>
    <col min="2" max="2" width="55.7109375" style="177" customWidth="1"/>
    <col min="3" max="3" width="17.5703125" style="177" customWidth="1"/>
    <col min="4" max="4" width="2.7109375" style="177" customWidth="1"/>
    <col min="5" max="5" width="19.42578125" style="177" customWidth="1"/>
    <col min="6" max="6" width="2.5703125" style="177" customWidth="1"/>
    <col min="7" max="7" width="19" style="177" customWidth="1"/>
    <col min="8" max="8" width="5" style="177" customWidth="1"/>
    <col min="9" max="9" width="19.140625" style="177" customWidth="1"/>
    <col min="10" max="10" width="3.28515625" style="177" customWidth="1"/>
    <col min="11" max="11" width="19" style="177" customWidth="1"/>
    <col min="12" max="12" width="3.28515625" style="177" customWidth="1"/>
    <col min="13" max="13" width="19.5703125" style="177" customWidth="1"/>
    <col min="14" max="14" width="3.28515625" style="177" customWidth="1"/>
    <col min="15" max="15" width="18.85546875" style="177" customWidth="1"/>
    <col min="16" max="16" width="11.42578125" style="177"/>
    <col min="17" max="17" width="12" style="177" bestFit="1" customWidth="1"/>
    <col min="18" max="16384" width="11.42578125" style="177"/>
  </cols>
  <sheetData>
    <row r="1" spans="1:15" x14ac:dyDescent="0.2">
      <c r="B1" s="180"/>
      <c r="C1" s="180"/>
      <c r="D1" s="180"/>
      <c r="E1" s="180"/>
      <c r="F1" s="180"/>
      <c r="G1" s="180"/>
    </row>
    <row r="6" spans="1:15" x14ac:dyDescent="0.2">
      <c r="A6" s="182"/>
      <c r="B6" s="226"/>
      <c r="C6" s="226"/>
      <c r="D6" s="226"/>
      <c r="E6" s="226"/>
      <c r="F6" s="226"/>
      <c r="G6" s="182"/>
      <c r="H6" s="182"/>
      <c r="I6" s="182"/>
    </row>
    <row r="7" spans="1:15" x14ac:dyDescent="0.2">
      <c r="A7" s="182" t="str">
        <f>+'BALANCES COMP'!A5</f>
        <v>HOSPITAL REGIONAL DE MONIQUIRÁ E.S.E.</v>
      </c>
      <c r="B7" s="226"/>
      <c r="C7" s="226"/>
      <c r="D7" s="226"/>
      <c r="E7" s="226"/>
      <c r="F7" s="226"/>
      <c r="G7" s="182"/>
      <c r="H7" s="182"/>
      <c r="I7" s="182"/>
    </row>
    <row r="8" spans="1:15" x14ac:dyDescent="0.2">
      <c r="A8" s="182" t="s">
        <v>322</v>
      </c>
      <c r="B8" s="226"/>
      <c r="C8" s="226"/>
      <c r="D8" s="226"/>
      <c r="E8" s="226"/>
      <c r="F8" s="226"/>
      <c r="G8" s="182"/>
      <c r="H8" s="182"/>
      <c r="I8" s="182"/>
    </row>
    <row r="9" spans="1:15" x14ac:dyDescent="0.2">
      <c r="A9" s="182" t="s">
        <v>400</v>
      </c>
      <c r="B9" s="226"/>
      <c r="C9" s="226"/>
      <c r="D9" s="226"/>
      <c r="E9" s="226"/>
      <c r="F9" s="226"/>
      <c r="G9" s="182"/>
      <c r="H9" s="182"/>
      <c r="I9" s="182"/>
    </row>
    <row r="10" spans="1:15" x14ac:dyDescent="0.2">
      <c r="A10" s="182" t="s">
        <v>323</v>
      </c>
      <c r="B10" s="226"/>
      <c r="C10" s="226"/>
      <c r="D10" s="226"/>
      <c r="E10" s="226"/>
      <c r="F10" s="226"/>
      <c r="G10" s="226"/>
      <c r="H10" s="226"/>
      <c r="I10" s="226"/>
    </row>
    <row r="11" spans="1:15" x14ac:dyDescent="0.2">
      <c r="A11" s="182"/>
      <c r="B11" s="226"/>
      <c r="C11" s="226"/>
      <c r="D11" s="226"/>
      <c r="E11" s="226"/>
      <c r="F11" s="226"/>
      <c r="G11" s="226"/>
      <c r="H11" s="226"/>
      <c r="I11" s="226"/>
    </row>
    <row r="12" spans="1:15" x14ac:dyDescent="0.2">
      <c r="A12" s="195" t="s">
        <v>6</v>
      </c>
      <c r="B12" s="195" t="s">
        <v>58</v>
      </c>
      <c r="C12" s="242" t="str">
        <f>+'BALANCES COMP'!C10</f>
        <v>AGOSTO 2023</v>
      </c>
      <c r="D12" s="227"/>
      <c r="E12" s="227" t="s">
        <v>317</v>
      </c>
      <c r="F12" s="195"/>
      <c r="G12" s="227" t="s">
        <v>317</v>
      </c>
      <c r="H12" s="195"/>
      <c r="I12" s="227" t="s">
        <v>317</v>
      </c>
      <c r="J12" s="228"/>
      <c r="K12" s="227" t="s">
        <v>0</v>
      </c>
      <c r="M12" s="227" t="s">
        <v>0</v>
      </c>
      <c r="O12" s="227" t="s">
        <v>0</v>
      </c>
    </row>
    <row r="13" spans="1:15" ht="13.5" customHeight="1" x14ac:dyDescent="0.2">
      <c r="A13" s="195"/>
      <c r="B13" s="195"/>
      <c r="C13" s="243">
        <v>2023</v>
      </c>
      <c r="D13" s="227"/>
      <c r="E13" s="227">
        <v>2022</v>
      </c>
      <c r="F13" s="227"/>
      <c r="G13" s="227">
        <v>2021</v>
      </c>
      <c r="H13" s="227"/>
      <c r="I13" s="227">
        <v>2020</v>
      </c>
      <c r="J13" s="227"/>
      <c r="K13" s="227">
        <v>2019</v>
      </c>
      <c r="L13" s="195"/>
      <c r="M13" s="227">
        <v>2018</v>
      </c>
      <c r="N13" s="228"/>
      <c r="O13" s="227">
        <v>2017</v>
      </c>
    </row>
    <row r="14" spans="1:15" x14ac:dyDescent="0.2">
      <c r="A14" s="229"/>
      <c r="B14" s="185"/>
      <c r="C14" s="198" t="s">
        <v>55</v>
      </c>
      <c r="D14" s="198"/>
      <c r="E14" s="198" t="s">
        <v>55</v>
      </c>
      <c r="F14" s="185"/>
      <c r="G14" s="198" t="s">
        <v>55</v>
      </c>
      <c r="H14" s="185"/>
      <c r="I14" s="198" t="s">
        <v>55</v>
      </c>
      <c r="J14" s="198"/>
      <c r="K14" s="198" t="s">
        <v>55</v>
      </c>
      <c r="M14" s="198" t="s">
        <v>55</v>
      </c>
      <c r="O14" s="198" t="s">
        <v>55</v>
      </c>
    </row>
    <row r="15" spans="1:15" x14ac:dyDescent="0.2">
      <c r="A15" s="229"/>
      <c r="B15" s="185" t="s">
        <v>184</v>
      </c>
      <c r="C15" s="230">
        <f>+C16+C20</f>
        <v>51067410449.379997</v>
      </c>
      <c r="D15" s="230"/>
      <c r="E15" s="230">
        <f>+E16+E20</f>
        <v>51789532705</v>
      </c>
      <c r="F15" s="230"/>
      <c r="G15" s="230">
        <f>+G16+G20</f>
        <v>38834115418</v>
      </c>
      <c r="H15" s="230"/>
      <c r="I15" s="230">
        <f>+I16+I20</f>
        <v>19545292774</v>
      </c>
      <c r="J15" s="230"/>
      <c r="K15" s="230">
        <f>+K16+K20</f>
        <v>41757551415</v>
      </c>
      <c r="L15" s="230"/>
      <c r="M15" s="230">
        <f>+M16+M20</f>
        <v>17845715139</v>
      </c>
      <c r="N15" s="211"/>
      <c r="O15" s="230">
        <f>+O16+O20</f>
        <v>11781402977</v>
      </c>
    </row>
    <row r="16" spans="1:15" x14ac:dyDescent="0.2">
      <c r="A16" s="231">
        <v>43</v>
      </c>
      <c r="B16" s="185" t="s">
        <v>59</v>
      </c>
      <c r="C16" s="230">
        <f>SUM(C17-C18)</f>
        <v>50932066196.379997</v>
      </c>
      <c r="D16" s="230"/>
      <c r="E16" s="230">
        <f>SUM(E17-E18)</f>
        <v>51292650679</v>
      </c>
      <c r="F16" s="230"/>
      <c r="G16" s="230">
        <f>SUM(G17-G18)</f>
        <v>37785359781</v>
      </c>
      <c r="H16" s="230"/>
      <c r="I16" s="230">
        <f>SUM(I17-I18)</f>
        <v>17859961309</v>
      </c>
      <c r="J16" s="230"/>
      <c r="K16" s="230">
        <f>SUM(K17-K18)</f>
        <v>15940285095</v>
      </c>
      <c r="L16" s="230"/>
      <c r="M16" s="230">
        <f>SUM(M17-M18)</f>
        <v>12385957698</v>
      </c>
      <c r="N16" s="211"/>
      <c r="O16" s="230">
        <f>SUM(O17-O18)</f>
        <v>11541503424</v>
      </c>
    </row>
    <row r="17" spans="1:15" x14ac:dyDescent="0.2">
      <c r="A17" s="229">
        <v>4312</v>
      </c>
      <c r="B17" s="177" t="s">
        <v>60</v>
      </c>
      <c r="C17" s="232">
        <v>50932066196.379997</v>
      </c>
      <c r="D17" s="232"/>
      <c r="E17" s="232">
        <v>51292650679</v>
      </c>
      <c r="F17" s="232"/>
      <c r="G17" s="232">
        <v>37785359781</v>
      </c>
      <c r="H17" s="232"/>
      <c r="I17" s="232">
        <v>17859961309</v>
      </c>
      <c r="J17" s="232"/>
      <c r="K17" s="232">
        <v>15940285095</v>
      </c>
      <c r="L17" s="232"/>
      <c r="M17" s="232">
        <v>12385957698</v>
      </c>
      <c r="N17" s="205"/>
      <c r="O17" s="232">
        <v>11558776013</v>
      </c>
    </row>
    <row r="18" spans="1:15" x14ac:dyDescent="0.2">
      <c r="A18" s="229">
        <v>4395</v>
      </c>
      <c r="B18" s="177" t="s">
        <v>61</v>
      </c>
      <c r="C18" s="232"/>
      <c r="D18" s="232"/>
      <c r="E18" s="232"/>
      <c r="F18" s="232"/>
      <c r="G18" s="232"/>
      <c r="H18" s="232"/>
      <c r="I18" s="232"/>
      <c r="J18" s="232"/>
      <c r="K18" s="232"/>
      <c r="L18" s="232"/>
      <c r="M18" s="232"/>
      <c r="N18" s="205"/>
      <c r="O18" s="232">
        <v>17272589</v>
      </c>
    </row>
    <row r="19" spans="1:15" x14ac:dyDescent="0.2">
      <c r="A19" s="229"/>
      <c r="C19" s="232"/>
      <c r="D19" s="232"/>
      <c r="E19" s="232"/>
      <c r="F19" s="232"/>
      <c r="G19" s="232"/>
      <c r="H19" s="232"/>
      <c r="I19" s="232"/>
      <c r="J19" s="232"/>
      <c r="K19" s="232"/>
      <c r="L19" s="232"/>
      <c r="M19" s="232"/>
      <c r="N19" s="205"/>
      <c r="O19" s="232"/>
    </row>
    <row r="20" spans="1:15" x14ac:dyDescent="0.2">
      <c r="A20" s="231">
        <v>44</v>
      </c>
      <c r="B20" s="185" t="s">
        <v>56</v>
      </c>
      <c r="C20" s="230">
        <f>SUM(C21:C22)</f>
        <v>135344253</v>
      </c>
      <c r="D20" s="230"/>
      <c r="E20" s="230">
        <f>SUM(E21:E22)</f>
        <v>496882026</v>
      </c>
      <c r="F20" s="230"/>
      <c r="G20" s="230">
        <f>SUM(G21:G22)</f>
        <v>1048755637</v>
      </c>
      <c r="H20" s="230"/>
      <c r="I20" s="230">
        <f>SUM(I21:I22)</f>
        <v>1685331465</v>
      </c>
      <c r="J20" s="230"/>
      <c r="K20" s="230">
        <f>SUM(K21:K22)</f>
        <v>25817266320</v>
      </c>
      <c r="L20" s="230"/>
      <c r="M20" s="230">
        <f>SUM(M21:M22)</f>
        <v>5459757441</v>
      </c>
      <c r="N20" s="211"/>
      <c r="O20" s="230">
        <f>SUM(O21:O22)</f>
        <v>239899553</v>
      </c>
    </row>
    <row r="21" spans="1:15" x14ac:dyDescent="0.2">
      <c r="A21" s="229">
        <v>4411</v>
      </c>
      <c r="B21" s="177" t="s">
        <v>104</v>
      </c>
      <c r="C21" s="232">
        <v>0</v>
      </c>
      <c r="D21" s="232"/>
      <c r="E21" s="232">
        <v>496882026</v>
      </c>
      <c r="F21" s="232"/>
      <c r="G21" s="232">
        <v>1048755637</v>
      </c>
      <c r="H21" s="232"/>
      <c r="I21" s="232">
        <v>1685331465</v>
      </c>
      <c r="J21" s="232"/>
      <c r="K21" s="232">
        <v>25817266320</v>
      </c>
      <c r="L21" s="232"/>
      <c r="M21" s="232">
        <v>5459757441</v>
      </c>
      <c r="N21" s="205"/>
      <c r="O21" s="232">
        <v>239899553</v>
      </c>
    </row>
    <row r="22" spans="1:15" x14ac:dyDescent="0.2">
      <c r="A22" s="229">
        <v>4428</v>
      </c>
      <c r="B22" s="177" t="s">
        <v>99</v>
      </c>
      <c r="C22" s="232">
        <v>135344253</v>
      </c>
      <c r="D22" s="232"/>
      <c r="E22" s="232"/>
      <c r="F22" s="232"/>
      <c r="G22" s="232"/>
      <c r="H22" s="232"/>
      <c r="I22" s="232"/>
      <c r="J22" s="232"/>
      <c r="K22" s="232"/>
      <c r="L22" s="232"/>
      <c r="M22" s="232"/>
      <c r="N22" s="205"/>
      <c r="O22" s="232"/>
    </row>
    <row r="23" spans="1:15" x14ac:dyDescent="0.2">
      <c r="C23" s="233"/>
      <c r="D23" s="233"/>
      <c r="E23" s="233"/>
      <c r="F23" s="233"/>
      <c r="G23" s="233"/>
      <c r="H23" s="233"/>
      <c r="I23" s="233"/>
      <c r="J23" s="233"/>
      <c r="K23" s="233"/>
      <c r="L23" s="233"/>
      <c r="M23" s="233"/>
      <c r="N23" s="199"/>
      <c r="O23" s="233"/>
    </row>
    <row r="24" spans="1:15" x14ac:dyDescent="0.2">
      <c r="A24" s="231">
        <v>6</v>
      </c>
      <c r="B24" s="185" t="s">
        <v>117</v>
      </c>
      <c r="C24" s="230">
        <f>+C25</f>
        <v>22639595536.66</v>
      </c>
      <c r="D24" s="230"/>
      <c r="E24" s="230">
        <f>+E25</f>
        <v>26291708810.060001</v>
      </c>
      <c r="F24" s="230"/>
      <c r="G24" s="230">
        <f>+G25</f>
        <v>19672091742</v>
      </c>
      <c r="H24" s="230"/>
      <c r="I24" s="230">
        <f>+I25</f>
        <v>11511941113</v>
      </c>
      <c r="J24" s="230"/>
      <c r="K24" s="230">
        <f>+K25</f>
        <v>9482000646</v>
      </c>
      <c r="L24" s="230"/>
      <c r="M24" s="230">
        <f>+M25</f>
        <v>7973339034</v>
      </c>
      <c r="N24" s="211"/>
      <c r="O24" s="230">
        <f>+O25</f>
        <v>7405797390</v>
      </c>
    </row>
    <row r="25" spans="1:15" x14ac:dyDescent="0.2">
      <c r="A25" s="231">
        <v>63</v>
      </c>
      <c r="B25" s="185" t="s">
        <v>75</v>
      </c>
      <c r="C25" s="234">
        <f>SUM(C26:C26)</f>
        <v>22639595536.66</v>
      </c>
      <c r="D25" s="234"/>
      <c r="E25" s="234">
        <f>SUM(E26:E26)</f>
        <v>26291708810.060001</v>
      </c>
      <c r="F25" s="234"/>
      <c r="G25" s="234">
        <f>SUM(G26:G26)</f>
        <v>19672091742</v>
      </c>
      <c r="H25" s="234"/>
      <c r="I25" s="234">
        <f>SUM(I26:I26)</f>
        <v>11511941113</v>
      </c>
      <c r="J25" s="234"/>
      <c r="K25" s="234">
        <f>SUM(K26:K26)</f>
        <v>9482000646</v>
      </c>
      <c r="L25" s="234"/>
      <c r="M25" s="234">
        <f>SUM(M26:M26)</f>
        <v>7973339034</v>
      </c>
      <c r="N25" s="211"/>
      <c r="O25" s="234">
        <f>SUM(O26:O26)</f>
        <v>7405797390</v>
      </c>
    </row>
    <row r="26" spans="1:15" x14ac:dyDescent="0.2">
      <c r="A26" s="229">
        <v>6310</v>
      </c>
      <c r="B26" s="177" t="s">
        <v>60</v>
      </c>
      <c r="C26" s="232">
        <f>19108738082+3530857454.66</f>
        <v>22639595536.66</v>
      </c>
      <c r="D26" s="232"/>
      <c r="E26" s="232">
        <v>26291708810.060001</v>
      </c>
      <c r="F26" s="232"/>
      <c r="G26" s="232">
        <v>19672091742</v>
      </c>
      <c r="H26" s="232"/>
      <c r="I26" s="232">
        <v>11511941113</v>
      </c>
      <c r="J26" s="232"/>
      <c r="K26" s="232">
        <v>9482000646</v>
      </c>
      <c r="L26" s="232"/>
      <c r="M26" s="232">
        <v>7973339034</v>
      </c>
      <c r="N26" s="205"/>
      <c r="O26" s="232">
        <v>7405797390</v>
      </c>
    </row>
    <row r="27" spans="1:15" x14ac:dyDescent="0.2">
      <c r="C27" s="233"/>
      <c r="D27" s="233"/>
      <c r="E27" s="233"/>
      <c r="F27" s="233"/>
      <c r="G27" s="233"/>
      <c r="H27" s="233"/>
      <c r="I27" s="233"/>
      <c r="J27" s="233"/>
      <c r="K27" s="233"/>
      <c r="L27" s="233"/>
      <c r="M27" s="233"/>
      <c r="N27" s="199"/>
      <c r="O27" s="233"/>
    </row>
    <row r="28" spans="1:15" x14ac:dyDescent="0.2">
      <c r="A28" s="229"/>
      <c r="B28" s="185" t="s">
        <v>185</v>
      </c>
      <c r="C28" s="230">
        <f>+(C30+C38)</f>
        <v>9210165158.8999996</v>
      </c>
      <c r="D28" s="230"/>
      <c r="E28" s="230">
        <f>+(E30+E38)</f>
        <v>12456646162.52</v>
      </c>
      <c r="F28" s="230"/>
      <c r="G28" s="230">
        <f>+(G30+G38)</f>
        <v>5738858026</v>
      </c>
      <c r="H28" s="230"/>
      <c r="I28" s="230">
        <f>+(I30+I38)</f>
        <v>5403264419</v>
      </c>
      <c r="J28" s="230"/>
      <c r="K28" s="230">
        <f>+(K30+K38)</f>
        <v>7423599046</v>
      </c>
      <c r="L28" s="230"/>
      <c r="M28" s="230">
        <f>+(M30+M38)</f>
        <v>4237327031</v>
      </c>
      <c r="N28" s="211"/>
      <c r="O28" s="230">
        <f>+(O30+O38)</f>
        <v>4390891466</v>
      </c>
    </row>
    <row r="29" spans="1:15" x14ac:dyDescent="0.2">
      <c r="C29" s="235"/>
      <c r="D29" s="235"/>
      <c r="E29" s="235"/>
      <c r="F29" s="235"/>
      <c r="G29" s="235"/>
      <c r="H29" s="235"/>
      <c r="I29" s="235"/>
      <c r="J29" s="235"/>
      <c r="K29" s="235"/>
      <c r="L29" s="235"/>
      <c r="M29" s="235"/>
      <c r="N29" s="199"/>
      <c r="O29" s="235"/>
    </row>
    <row r="30" spans="1:15" x14ac:dyDescent="0.2">
      <c r="A30" s="231">
        <v>51</v>
      </c>
      <c r="B30" s="185" t="s">
        <v>57</v>
      </c>
      <c r="C30" s="230">
        <f>SUM(C31:C36)</f>
        <v>6725332527.3599997</v>
      </c>
      <c r="D30" s="230"/>
      <c r="E30" s="230">
        <f>SUM(E31:E36)</f>
        <v>6922377020.5200005</v>
      </c>
      <c r="F30" s="230"/>
      <c r="G30" s="230">
        <f>SUM(G31:G36)</f>
        <v>4844059702</v>
      </c>
      <c r="H30" s="230"/>
      <c r="I30" s="230">
        <f>SUM(I31:I36)</f>
        <v>4460778088</v>
      </c>
      <c r="J30" s="230"/>
      <c r="K30" s="230">
        <f>SUM(K31:K36)</f>
        <v>3564663953</v>
      </c>
      <c r="L30" s="230"/>
      <c r="M30" s="230">
        <f>SUM(M31:M36)</f>
        <v>3555941206</v>
      </c>
      <c r="N30" s="211"/>
      <c r="O30" s="230">
        <f>SUM(O31:O36)</f>
        <v>2576775168</v>
      </c>
    </row>
    <row r="31" spans="1:15" x14ac:dyDescent="0.2">
      <c r="A31" s="229">
        <v>5101</v>
      </c>
      <c r="B31" s="177" t="s">
        <v>68</v>
      </c>
      <c r="C31" s="232">
        <v>466684468</v>
      </c>
      <c r="D31" s="232"/>
      <c r="E31" s="232">
        <v>693985532</v>
      </c>
      <c r="F31" s="232"/>
      <c r="G31" s="232">
        <f>532758837+119213358</f>
        <v>651972195</v>
      </c>
      <c r="H31" s="232"/>
      <c r="I31" s="232">
        <f>369965825+670772613</f>
        <v>1040738438</v>
      </c>
      <c r="J31" s="232"/>
      <c r="K31" s="232">
        <f>374120651+1121395974</f>
        <v>1495516625</v>
      </c>
      <c r="L31" s="232"/>
      <c r="M31" s="232">
        <f>299215327+975556030</f>
        <v>1274771357</v>
      </c>
      <c r="N31" s="236"/>
      <c r="O31" s="232">
        <f>338497808+848053559</f>
        <v>1186551367</v>
      </c>
    </row>
    <row r="32" spans="1:15" x14ac:dyDescent="0.2">
      <c r="A32" s="229">
        <v>5102</v>
      </c>
      <c r="B32" s="177" t="s">
        <v>69</v>
      </c>
      <c r="C32" s="232">
        <v>516118732</v>
      </c>
      <c r="D32" s="232"/>
      <c r="E32" s="232">
        <v>629379036</v>
      </c>
      <c r="F32" s="232"/>
      <c r="G32" s="232">
        <v>255392908</v>
      </c>
      <c r="H32" s="232"/>
      <c r="I32" s="232">
        <v>366169947</v>
      </c>
      <c r="J32" s="232"/>
      <c r="K32" s="232">
        <v>97765216</v>
      </c>
      <c r="L32" s="232"/>
      <c r="M32" s="232">
        <v>216563751</v>
      </c>
      <c r="N32" s="236"/>
      <c r="O32" s="232">
        <v>111901532</v>
      </c>
    </row>
    <row r="33" spans="1:15" x14ac:dyDescent="0.2">
      <c r="A33" s="229">
        <v>5103</v>
      </c>
      <c r="B33" s="177" t="s">
        <v>70</v>
      </c>
      <c r="C33" s="232">
        <v>271358931</v>
      </c>
      <c r="D33" s="232"/>
      <c r="E33" s="232">
        <v>358200475</v>
      </c>
      <c r="F33" s="232"/>
      <c r="G33" s="232">
        <v>392618057</v>
      </c>
      <c r="H33" s="232"/>
      <c r="I33" s="232">
        <v>346115658</v>
      </c>
      <c r="J33" s="232"/>
      <c r="K33" s="232">
        <v>283341618</v>
      </c>
      <c r="L33" s="232"/>
      <c r="M33" s="232">
        <v>285762829</v>
      </c>
      <c r="N33" s="236"/>
      <c r="O33" s="232">
        <v>222183763</v>
      </c>
    </row>
    <row r="34" spans="1:15" x14ac:dyDescent="0.2">
      <c r="A34" s="229">
        <v>5104</v>
      </c>
      <c r="B34" s="177" t="s">
        <v>71</v>
      </c>
      <c r="C34" s="232">
        <v>69247854</v>
      </c>
      <c r="D34" s="232"/>
      <c r="E34" s="232">
        <v>96353800</v>
      </c>
      <c r="F34" s="232"/>
      <c r="G34" s="232">
        <v>67186500</v>
      </c>
      <c r="H34" s="232"/>
      <c r="I34" s="232">
        <v>54173300</v>
      </c>
      <c r="J34" s="232"/>
      <c r="K34" s="232">
        <v>54297200</v>
      </c>
      <c r="L34" s="232"/>
      <c r="M34" s="232">
        <v>50657200</v>
      </c>
      <c r="N34" s="236"/>
      <c r="O34" s="232">
        <v>47481264</v>
      </c>
    </row>
    <row r="35" spans="1:15" x14ac:dyDescent="0.2">
      <c r="A35" s="229">
        <v>5111</v>
      </c>
      <c r="B35" s="177" t="s">
        <v>62</v>
      </c>
      <c r="C35" s="232">
        <f>5367733618.36+1266060</f>
        <v>5368999678.3599997</v>
      </c>
      <c r="D35" s="232"/>
      <c r="E35" s="232">
        <v>5074468745.5200005</v>
      </c>
      <c r="F35" s="232"/>
      <c r="G35" s="232">
        <v>3434815193</v>
      </c>
      <c r="H35" s="232"/>
      <c r="I35" s="232">
        <v>2623367406</v>
      </c>
      <c r="J35" s="232"/>
      <c r="K35" s="232">
        <v>1600104985</v>
      </c>
      <c r="L35" s="232"/>
      <c r="M35" s="232">
        <v>1707614307</v>
      </c>
      <c r="N35" s="236"/>
      <c r="O35" s="232">
        <v>989551231</v>
      </c>
    </row>
    <row r="36" spans="1:15" x14ac:dyDescent="0.2">
      <c r="A36" s="229">
        <v>5120</v>
      </c>
      <c r="B36" s="177" t="s">
        <v>72</v>
      </c>
      <c r="C36" s="232">
        <v>32922864</v>
      </c>
      <c r="D36" s="232"/>
      <c r="E36" s="232">
        <v>69989432</v>
      </c>
      <c r="F36" s="232"/>
      <c r="G36" s="232">
        <v>42074849</v>
      </c>
      <c r="H36" s="232"/>
      <c r="I36" s="232">
        <v>30213339</v>
      </c>
      <c r="J36" s="232"/>
      <c r="K36" s="232">
        <v>33638309</v>
      </c>
      <c r="L36" s="232"/>
      <c r="M36" s="232">
        <v>20571762</v>
      </c>
      <c r="N36" s="236"/>
      <c r="O36" s="232">
        <v>19106011</v>
      </c>
    </row>
    <row r="37" spans="1:15" x14ac:dyDescent="0.2">
      <c r="C37" s="233"/>
      <c r="D37" s="233"/>
      <c r="E37" s="233"/>
      <c r="F37" s="233"/>
      <c r="G37" s="233"/>
      <c r="H37" s="233"/>
      <c r="I37" s="233"/>
      <c r="J37" s="233"/>
      <c r="K37" s="233"/>
      <c r="L37" s="233"/>
      <c r="M37" s="233"/>
      <c r="N37" s="199"/>
      <c r="O37" s="233"/>
    </row>
    <row r="38" spans="1:15" x14ac:dyDescent="0.2">
      <c r="A38" s="231">
        <v>53</v>
      </c>
      <c r="B38" s="185" t="s">
        <v>1</v>
      </c>
      <c r="C38" s="230">
        <f>SUM(C39:C43)</f>
        <v>2484832631.54</v>
      </c>
      <c r="D38" s="230"/>
      <c r="E38" s="230">
        <f>SUM(E39:E43)</f>
        <v>5534269142</v>
      </c>
      <c r="F38" s="230"/>
      <c r="G38" s="230">
        <f>SUM(G39:G43)</f>
        <v>894798324</v>
      </c>
      <c r="H38" s="230"/>
      <c r="I38" s="230">
        <f>SUM(I39:I43)</f>
        <v>942486331</v>
      </c>
      <c r="J38" s="230"/>
      <c r="K38" s="230">
        <f>SUM(K39:K43)</f>
        <v>3858935093</v>
      </c>
      <c r="L38" s="230"/>
      <c r="M38" s="230">
        <f>SUM(M39:M43)</f>
        <v>681385825</v>
      </c>
      <c r="N38" s="211"/>
      <c r="O38" s="230">
        <f>SUM(O39:O43)</f>
        <v>1814116298</v>
      </c>
    </row>
    <row r="39" spans="1:15" x14ac:dyDescent="0.2">
      <c r="A39" s="229">
        <v>5304</v>
      </c>
      <c r="B39" s="177" t="s">
        <v>100</v>
      </c>
      <c r="C39" s="232"/>
      <c r="D39" s="232"/>
      <c r="E39" s="232">
        <v>4719884859</v>
      </c>
      <c r="F39" s="232"/>
      <c r="G39" s="232"/>
      <c r="H39" s="232"/>
      <c r="I39" s="232"/>
      <c r="J39" s="232"/>
      <c r="K39" s="232">
        <v>1610846364</v>
      </c>
      <c r="L39" s="232"/>
      <c r="M39" s="232">
        <v>255902304</v>
      </c>
      <c r="N39" s="205"/>
      <c r="O39" s="232">
        <v>1157757552</v>
      </c>
    </row>
    <row r="40" spans="1:15" x14ac:dyDescent="0.2">
      <c r="A40" s="229">
        <v>5306</v>
      </c>
      <c r="B40" s="177" t="s">
        <v>73</v>
      </c>
      <c r="C40" s="232"/>
      <c r="D40" s="232"/>
      <c r="E40" s="232"/>
      <c r="F40" s="232"/>
      <c r="G40" s="232"/>
      <c r="H40" s="232"/>
      <c r="I40" s="232"/>
      <c r="J40" s="232"/>
      <c r="K40" s="232"/>
      <c r="L40" s="232"/>
      <c r="M40" s="232"/>
      <c r="N40" s="236"/>
      <c r="O40" s="232"/>
    </row>
    <row r="41" spans="1:15" x14ac:dyDescent="0.2">
      <c r="A41" s="229">
        <v>5312</v>
      </c>
      <c r="B41" s="177" t="s">
        <v>89</v>
      </c>
      <c r="C41" s="232">
        <v>1517198509</v>
      </c>
      <c r="D41" s="232"/>
      <c r="E41" s="232"/>
      <c r="F41" s="232"/>
      <c r="G41" s="232"/>
      <c r="H41" s="232"/>
      <c r="I41" s="232"/>
      <c r="J41" s="232"/>
      <c r="K41" s="232">
        <v>499179349</v>
      </c>
      <c r="L41" s="232"/>
      <c r="M41" s="232">
        <v>204814615</v>
      </c>
      <c r="N41" s="236"/>
      <c r="O41" s="232">
        <v>656358746</v>
      </c>
    </row>
    <row r="42" spans="1:15" x14ac:dyDescent="0.2">
      <c r="A42" s="229">
        <v>5330</v>
      </c>
      <c r="B42" s="177" t="s">
        <v>79</v>
      </c>
      <c r="C42" s="232">
        <v>885791943.53999996</v>
      </c>
      <c r="D42" s="232"/>
      <c r="E42" s="232">
        <v>814384283</v>
      </c>
      <c r="F42" s="232"/>
      <c r="G42" s="232">
        <v>894798324</v>
      </c>
      <c r="H42" s="232"/>
      <c r="I42" s="232">
        <v>942486331</v>
      </c>
      <c r="J42" s="232"/>
      <c r="K42" s="232">
        <v>1747712955</v>
      </c>
      <c r="L42" s="232"/>
      <c r="M42" s="232">
        <v>220668906</v>
      </c>
      <c r="N42" s="236"/>
      <c r="O42" s="232"/>
    </row>
    <row r="43" spans="1:15" x14ac:dyDescent="0.2">
      <c r="A43" s="229">
        <v>5345</v>
      </c>
      <c r="B43" s="177" t="s">
        <v>76</v>
      </c>
      <c r="C43" s="232">
        <v>81842179</v>
      </c>
      <c r="D43" s="232"/>
      <c r="E43" s="232"/>
      <c r="F43" s="232"/>
      <c r="G43" s="232"/>
      <c r="H43" s="232"/>
      <c r="I43" s="232"/>
      <c r="J43" s="232"/>
      <c r="K43" s="232">
        <v>1196425</v>
      </c>
      <c r="L43" s="232"/>
      <c r="M43" s="232"/>
      <c r="N43" s="205"/>
      <c r="O43" s="232"/>
    </row>
    <row r="44" spans="1:15" x14ac:dyDescent="0.2">
      <c r="C44" s="233"/>
      <c r="D44" s="233"/>
      <c r="E44" s="233"/>
      <c r="F44" s="233"/>
      <c r="G44" s="233"/>
      <c r="H44" s="233"/>
      <c r="I44" s="233"/>
      <c r="J44" s="233"/>
      <c r="K44" s="233"/>
      <c r="L44" s="233"/>
      <c r="M44" s="233"/>
      <c r="N44" s="199"/>
      <c r="O44" s="233"/>
    </row>
    <row r="45" spans="1:15" x14ac:dyDescent="0.2">
      <c r="B45" s="185" t="s">
        <v>186</v>
      </c>
      <c r="C45" s="230">
        <f>+C15-C24-C28</f>
        <v>19217649753.82</v>
      </c>
      <c r="D45" s="230"/>
      <c r="E45" s="230">
        <f>+E15-E24-E28</f>
        <v>13041177732.419998</v>
      </c>
      <c r="F45" s="230"/>
      <c r="G45" s="230">
        <f>+G15-G24-G28</f>
        <v>13423165650</v>
      </c>
      <c r="H45" s="230"/>
      <c r="I45" s="230">
        <f>+I15-I24-I28</f>
        <v>2630087242</v>
      </c>
      <c r="J45" s="230"/>
      <c r="K45" s="230">
        <f>+K15-K24-K28</f>
        <v>24851951723</v>
      </c>
      <c r="L45" s="230"/>
      <c r="M45" s="230">
        <f>+M15-M24-M28</f>
        <v>5635049074</v>
      </c>
      <c r="N45" s="211"/>
      <c r="O45" s="230">
        <f>+O15-O24-O28</f>
        <v>-15285879</v>
      </c>
    </row>
    <row r="46" spans="1:15" x14ac:dyDescent="0.2">
      <c r="C46" s="235"/>
      <c r="D46" s="235"/>
      <c r="E46" s="235"/>
      <c r="F46" s="235"/>
      <c r="G46" s="235"/>
      <c r="H46" s="235"/>
      <c r="I46" s="235"/>
      <c r="J46" s="235"/>
      <c r="K46" s="235"/>
      <c r="L46" s="235"/>
      <c r="M46" s="235"/>
      <c r="N46" s="199"/>
      <c r="O46" s="235"/>
    </row>
    <row r="47" spans="1:15" x14ac:dyDescent="0.2">
      <c r="A47" s="231">
        <v>48</v>
      </c>
      <c r="B47" s="185" t="s">
        <v>125</v>
      </c>
      <c r="C47" s="230">
        <f>SUM(C48:C51)</f>
        <v>3008785</v>
      </c>
      <c r="D47" s="230"/>
      <c r="E47" s="230">
        <f>SUM(E48:E51)</f>
        <v>347893655.57999998</v>
      </c>
      <c r="F47" s="230"/>
      <c r="G47" s="230">
        <f>SUM(G48:G51)</f>
        <v>2205326</v>
      </c>
      <c r="H47" s="230"/>
      <c r="I47" s="230">
        <f>SUM(I48:I51)</f>
        <v>194251618</v>
      </c>
      <c r="J47" s="230"/>
      <c r="K47" s="230">
        <f>SUM(K48:K51)</f>
        <v>55849242</v>
      </c>
      <c r="L47" s="230"/>
      <c r="M47" s="230">
        <f>SUM(M48:M51)</f>
        <v>274042126</v>
      </c>
      <c r="N47" s="211"/>
      <c r="O47" s="230">
        <f>SUM(O48:O51)</f>
        <v>79137430</v>
      </c>
    </row>
    <row r="48" spans="1:15" x14ac:dyDescent="0.2">
      <c r="A48" s="229">
        <v>4805</v>
      </c>
      <c r="B48" s="177" t="s">
        <v>63</v>
      </c>
      <c r="C48" s="232">
        <f>806432+122562</f>
        <v>928994</v>
      </c>
      <c r="D48" s="232"/>
      <c r="E48" s="232">
        <v>331527.37</v>
      </c>
      <c r="F48" s="232"/>
      <c r="G48" s="232">
        <v>790475</v>
      </c>
      <c r="H48" s="232"/>
      <c r="I48" s="232">
        <v>369653</v>
      </c>
      <c r="J48" s="232"/>
      <c r="K48" s="232">
        <v>1274078</v>
      </c>
      <c r="L48" s="232"/>
      <c r="M48" s="232">
        <v>742409</v>
      </c>
      <c r="N48" s="205"/>
      <c r="O48" s="232">
        <v>34542461</v>
      </c>
    </row>
    <row r="49" spans="1:17" x14ac:dyDescent="0.2">
      <c r="A49" s="229">
        <v>4808</v>
      </c>
      <c r="B49" s="177" t="s">
        <v>98</v>
      </c>
      <c r="C49" s="233">
        <v>2079791</v>
      </c>
      <c r="D49" s="233"/>
      <c r="E49" s="233">
        <v>633252.21</v>
      </c>
      <c r="F49" s="233"/>
      <c r="G49" s="233">
        <v>1414851</v>
      </c>
      <c r="H49" s="233"/>
      <c r="I49" s="233">
        <v>193881965</v>
      </c>
      <c r="J49" s="233"/>
      <c r="K49" s="233">
        <v>5298404</v>
      </c>
      <c r="L49" s="233"/>
      <c r="M49" s="233">
        <v>273299717</v>
      </c>
      <c r="N49" s="236"/>
      <c r="O49" s="233">
        <v>44594969</v>
      </c>
    </row>
    <row r="50" spans="1:17" x14ac:dyDescent="0.2">
      <c r="A50" s="229">
        <v>4810</v>
      </c>
      <c r="B50" s="177" t="s">
        <v>64</v>
      </c>
      <c r="C50" s="232">
        <v>0</v>
      </c>
      <c r="D50" s="232"/>
      <c r="E50" s="232">
        <v>346928876</v>
      </c>
      <c r="F50" s="232"/>
      <c r="G50" s="232"/>
      <c r="H50" s="232"/>
      <c r="I50" s="232"/>
      <c r="J50" s="232"/>
      <c r="K50" s="232">
        <v>49276760</v>
      </c>
      <c r="L50" s="232"/>
      <c r="M50" s="232"/>
      <c r="N50" s="205"/>
      <c r="O50" s="232"/>
    </row>
    <row r="51" spans="1:17" x14ac:dyDescent="0.2">
      <c r="A51" s="229">
        <v>4815</v>
      </c>
      <c r="B51" s="177" t="s">
        <v>65</v>
      </c>
      <c r="C51" s="232"/>
      <c r="D51" s="232"/>
      <c r="E51" s="232"/>
      <c r="F51" s="232"/>
      <c r="G51" s="232"/>
      <c r="H51" s="232"/>
      <c r="I51" s="232"/>
      <c r="J51" s="232"/>
      <c r="K51" s="232"/>
      <c r="L51" s="232"/>
      <c r="M51" s="232"/>
      <c r="N51" s="205"/>
      <c r="O51" s="232"/>
    </row>
    <row r="52" spans="1:17" x14ac:dyDescent="0.2">
      <c r="A52" s="229"/>
      <c r="C52" s="232"/>
      <c r="D52" s="232"/>
      <c r="E52" s="232"/>
      <c r="F52" s="232"/>
      <c r="G52" s="232"/>
      <c r="H52" s="232"/>
      <c r="I52" s="232"/>
      <c r="J52" s="232"/>
      <c r="K52" s="232"/>
      <c r="L52" s="232"/>
      <c r="M52" s="232"/>
      <c r="N52" s="205"/>
      <c r="O52" s="232"/>
    </row>
    <row r="53" spans="1:17" x14ac:dyDescent="0.2">
      <c r="A53" s="231">
        <v>55</v>
      </c>
      <c r="B53" s="185" t="s">
        <v>105</v>
      </c>
      <c r="C53" s="230">
        <f>C54</f>
        <v>0</v>
      </c>
      <c r="D53" s="230"/>
      <c r="E53" s="230">
        <f>E54</f>
        <v>0</v>
      </c>
      <c r="F53" s="230"/>
      <c r="G53" s="230">
        <f>G54</f>
        <v>0</v>
      </c>
      <c r="H53" s="230"/>
      <c r="I53" s="230">
        <f>I54</f>
        <v>0</v>
      </c>
      <c r="J53" s="230"/>
      <c r="K53" s="230">
        <f>K54</f>
        <v>0</v>
      </c>
      <c r="L53" s="230"/>
      <c r="M53" s="230">
        <f>M54</f>
        <v>0</v>
      </c>
      <c r="N53" s="237"/>
      <c r="O53" s="230">
        <f>O54</f>
        <v>0</v>
      </c>
    </row>
    <row r="54" spans="1:17" x14ac:dyDescent="0.2">
      <c r="A54" s="229">
        <v>5502</v>
      </c>
      <c r="B54" s="177" t="s">
        <v>106</v>
      </c>
      <c r="C54" s="232"/>
      <c r="D54" s="232"/>
      <c r="E54" s="232"/>
      <c r="F54" s="232"/>
      <c r="G54" s="232"/>
      <c r="H54" s="232"/>
      <c r="I54" s="232"/>
      <c r="J54" s="232"/>
      <c r="K54" s="232"/>
      <c r="L54" s="232"/>
      <c r="M54" s="232"/>
      <c r="N54" s="236"/>
      <c r="O54" s="232"/>
    </row>
    <row r="55" spans="1:17" x14ac:dyDescent="0.2">
      <c r="C55" s="233"/>
      <c r="D55" s="233"/>
      <c r="E55" s="233"/>
      <c r="F55" s="233"/>
      <c r="G55" s="233"/>
      <c r="H55" s="233"/>
      <c r="I55" s="233"/>
      <c r="J55" s="233"/>
      <c r="K55" s="233"/>
      <c r="L55" s="233"/>
      <c r="M55" s="233"/>
      <c r="N55" s="199"/>
      <c r="O55" s="233"/>
      <c r="Q55" s="240"/>
    </row>
    <row r="56" spans="1:17" x14ac:dyDescent="0.2">
      <c r="A56" s="231">
        <v>58</v>
      </c>
      <c r="B56" s="185" t="s">
        <v>123</v>
      </c>
      <c r="C56" s="230">
        <f>SUM(C57:C61)</f>
        <v>2560367</v>
      </c>
      <c r="D56" s="230"/>
      <c r="E56" s="230">
        <f>SUM(E57:E61)</f>
        <v>1774271324</v>
      </c>
      <c r="F56" s="230"/>
      <c r="G56" s="230">
        <f>SUM(G57:G61)</f>
        <v>103688472</v>
      </c>
      <c r="H56" s="230"/>
      <c r="I56" s="230">
        <f>SUM(I57:I61)</f>
        <v>328609494</v>
      </c>
      <c r="J56" s="230"/>
      <c r="K56" s="230">
        <f>SUM(K57:K61)</f>
        <v>1265965708</v>
      </c>
      <c r="L56" s="230"/>
      <c r="M56" s="230">
        <f>SUM(M57:M61)</f>
        <v>535951096</v>
      </c>
      <c r="N56" s="211"/>
      <c r="O56" s="230">
        <f>SUM(O57:O61)</f>
        <v>861641126</v>
      </c>
      <c r="Q56" s="240"/>
    </row>
    <row r="57" spans="1:17" x14ac:dyDescent="0.2">
      <c r="A57" s="229">
        <v>5801</v>
      </c>
      <c r="B57" s="177" t="s">
        <v>74</v>
      </c>
      <c r="C57" s="232"/>
      <c r="D57" s="232"/>
      <c r="E57" s="232"/>
      <c r="F57" s="232"/>
      <c r="G57" s="232"/>
      <c r="H57" s="232"/>
      <c r="I57" s="232"/>
      <c r="J57" s="232"/>
      <c r="K57" s="232"/>
      <c r="L57" s="232"/>
      <c r="M57" s="232"/>
      <c r="N57" s="205"/>
      <c r="O57" s="232"/>
    </row>
    <row r="58" spans="1:17" x14ac:dyDescent="0.2">
      <c r="A58" s="229">
        <v>5805</v>
      </c>
      <c r="B58" s="177" t="s">
        <v>63</v>
      </c>
      <c r="C58" s="232">
        <v>2560367</v>
      </c>
      <c r="D58" s="232"/>
      <c r="E58" s="232">
        <v>1774271324</v>
      </c>
      <c r="F58" s="232"/>
      <c r="G58" s="232">
        <v>30698121</v>
      </c>
      <c r="H58" s="232"/>
      <c r="I58" s="232">
        <v>328609494</v>
      </c>
      <c r="J58" s="232"/>
      <c r="K58" s="232">
        <v>1252720708</v>
      </c>
      <c r="L58" s="232"/>
      <c r="M58" s="232">
        <v>521221096</v>
      </c>
      <c r="N58" s="205"/>
      <c r="O58" s="232">
        <v>825843369</v>
      </c>
    </row>
    <row r="59" spans="1:17" x14ac:dyDescent="0.2">
      <c r="A59" s="229">
        <v>5808</v>
      </c>
      <c r="B59" s="177" t="s">
        <v>2</v>
      </c>
      <c r="C59" s="232"/>
      <c r="D59" s="232"/>
      <c r="E59" s="232"/>
      <c r="F59" s="232"/>
      <c r="G59" s="232">
        <v>72990351</v>
      </c>
      <c r="H59" s="232"/>
      <c r="I59" s="232"/>
      <c r="J59" s="232"/>
      <c r="K59" s="232">
        <v>13245000</v>
      </c>
      <c r="L59" s="232"/>
      <c r="M59" s="232">
        <v>14730000</v>
      </c>
      <c r="N59" s="236"/>
      <c r="O59" s="232">
        <v>35797757</v>
      </c>
    </row>
    <row r="60" spans="1:17" x14ac:dyDescent="0.2">
      <c r="A60" s="229">
        <v>5810</v>
      </c>
      <c r="B60" s="177" t="s">
        <v>64</v>
      </c>
      <c r="C60" s="232"/>
      <c r="D60" s="232"/>
      <c r="E60" s="232"/>
      <c r="F60" s="232"/>
      <c r="G60" s="232"/>
      <c r="H60" s="232"/>
      <c r="I60" s="232"/>
      <c r="J60" s="232"/>
      <c r="K60" s="232"/>
      <c r="L60" s="232"/>
      <c r="M60" s="232"/>
      <c r="N60" s="205"/>
      <c r="O60" s="232"/>
    </row>
    <row r="61" spans="1:17" x14ac:dyDescent="0.2">
      <c r="A61" s="229">
        <v>5815</v>
      </c>
      <c r="B61" s="177" t="s">
        <v>66</v>
      </c>
      <c r="C61" s="232"/>
      <c r="D61" s="232"/>
      <c r="E61" s="232"/>
      <c r="F61" s="232"/>
      <c r="G61" s="232"/>
      <c r="H61" s="232"/>
      <c r="I61" s="232"/>
      <c r="J61" s="232"/>
      <c r="K61" s="232"/>
      <c r="L61" s="232"/>
      <c r="M61" s="232"/>
      <c r="N61" s="205"/>
      <c r="O61" s="232"/>
    </row>
    <row r="62" spans="1:17" x14ac:dyDescent="0.2">
      <c r="A62" s="229"/>
      <c r="C62" s="232"/>
      <c r="D62" s="232"/>
      <c r="E62" s="232"/>
      <c r="F62" s="232"/>
      <c r="G62" s="232"/>
      <c r="H62" s="232"/>
      <c r="I62" s="232"/>
      <c r="J62" s="232"/>
      <c r="K62" s="232"/>
      <c r="L62" s="232"/>
      <c r="M62" s="232"/>
      <c r="N62" s="199"/>
      <c r="O62" s="232"/>
    </row>
    <row r="63" spans="1:17" x14ac:dyDescent="0.2">
      <c r="B63" s="185" t="s">
        <v>187</v>
      </c>
      <c r="C63" s="230">
        <f>+C45+C47-C53-C56</f>
        <v>19218098171.82</v>
      </c>
      <c r="D63" s="230"/>
      <c r="E63" s="230">
        <f>+E45+E47-E53-E56</f>
        <v>11614800063.999998</v>
      </c>
      <c r="F63" s="230"/>
      <c r="G63" s="230">
        <f>+G45+G47-G53-G56</f>
        <v>13321682504</v>
      </c>
      <c r="H63" s="230"/>
      <c r="I63" s="230">
        <f>+I45+I47-I53-I56</f>
        <v>2495729366</v>
      </c>
      <c r="J63" s="230"/>
      <c r="K63" s="230">
        <f>+K45+K47-K53-K56</f>
        <v>23641835257</v>
      </c>
      <c r="L63" s="230"/>
      <c r="M63" s="230">
        <f>+M45+M47-M53-M56</f>
        <v>5373140104</v>
      </c>
      <c r="N63" s="197"/>
      <c r="O63" s="230">
        <f>+O45+O47-O53-O56</f>
        <v>-797789575</v>
      </c>
    </row>
    <row r="64" spans="1:17" x14ac:dyDescent="0.2">
      <c r="K64" s="225"/>
      <c r="M64" s="220"/>
    </row>
    <row r="65" spans="1:27" x14ac:dyDescent="0.2">
      <c r="C65" s="220"/>
      <c r="I65" s="220"/>
    </row>
    <row r="66" spans="1:27" x14ac:dyDescent="0.2">
      <c r="C66" s="240"/>
    </row>
    <row r="67" spans="1:27" x14ac:dyDescent="0.2">
      <c r="M67" s="6"/>
    </row>
    <row r="68" spans="1:27" x14ac:dyDescent="0.2">
      <c r="J68" s="225"/>
      <c r="M68" s="6"/>
    </row>
    <row r="69" spans="1:27" s="185" customFormat="1" x14ac:dyDescent="0.2">
      <c r="A69" s="177"/>
      <c r="B69" s="177"/>
      <c r="C69" s="177"/>
      <c r="D69" s="177"/>
      <c r="E69" s="177"/>
      <c r="F69" s="177"/>
      <c r="G69" s="177"/>
      <c r="H69" s="177"/>
      <c r="I69" s="177"/>
      <c r="J69" s="177"/>
      <c r="K69" s="177"/>
      <c r="L69" s="177"/>
      <c r="M69" s="6"/>
      <c r="N69" s="177"/>
      <c r="O69" s="177"/>
      <c r="P69" s="177"/>
      <c r="Q69" s="177"/>
      <c r="R69" s="177"/>
      <c r="S69" s="177"/>
      <c r="T69" s="177"/>
      <c r="U69" s="177"/>
      <c r="V69" s="177"/>
      <c r="W69" s="177"/>
      <c r="X69" s="177"/>
      <c r="Y69" s="177"/>
      <c r="Z69" s="177"/>
      <c r="AA69" s="177"/>
    </row>
    <row r="70" spans="1:27" s="185" customFormat="1" x14ac:dyDescent="0.2">
      <c r="K70" s="177"/>
      <c r="L70" s="177"/>
      <c r="M70" s="6"/>
      <c r="N70" s="177"/>
      <c r="O70" s="177"/>
      <c r="P70" s="177"/>
      <c r="Q70" s="177"/>
      <c r="R70" s="177"/>
      <c r="S70" s="177"/>
      <c r="T70" s="177"/>
      <c r="U70" s="177"/>
      <c r="V70" s="177"/>
      <c r="W70" s="177"/>
      <c r="X70" s="177"/>
      <c r="Y70" s="177"/>
      <c r="Z70" s="177"/>
      <c r="AA70" s="177"/>
    </row>
    <row r="71" spans="1:27" s="185" customFormat="1" x14ac:dyDescent="0.2">
      <c r="A71" s="177"/>
      <c r="B71" s="177"/>
      <c r="C71" s="177"/>
      <c r="D71" s="177"/>
      <c r="E71" s="177"/>
      <c r="F71" s="177"/>
      <c r="G71" s="177"/>
      <c r="H71" s="177"/>
      <c r="I71" s="177"/>
      <c r="J71" s="177"/>
      <c r="K71" s="177"/>
      <c r="L71" s="177"/>
      <c r="M71" s="177"/>
      <c r="N71" s="177"/>
      <c r="O71" s="177"/>
      <c r="P71" s="177"/>
      <c r="Q71" s="177"/>
      <c r="R71" s="177"/>
      <c r="S71" s="177"/>
      <c r="T71" s="177"/>
      <c r="U71" s="177"/>
      <c r="V71" s="177"/>
      <c r="W71" s="177"/>
      <c r="X71" s="177"/>
      <c r="Y71" s="177"/>
      <c r="Z71" s="177"/>
      <c r="AA71" s="177"/>
    </row>
    <row r="72" spans="1:27" s="185" customFormat="1" x14ac:dyDescent="0.2">
      <c r="A72" s="177"/>
      <c r="B72" s="177"/>
      <c r="C72" s="177"/>
      <c r="D72" s="177"/>
      <c r="E72" s="177"/>
      <c r="F72" s="177"/>
      <c r="G72" s="177"/>
      <c r="H72" s="177"/>
      <c r="I72" s="177"/>
      <c r="J72" s="177"/>
      <c r="L72" s="177"/>
      <c r="M72" s="177"/>
      <c r="N72" s="177"/>
      <c r="O72" s="177"/>
      <c r="P72" s="177"/>
      <c r="Q72" s="177"/>
      <c r="R72" s="177"/>
      <c r="S72" s="177"/>
      <c r="T72" s="177"/>
      <c r="U72" s="177"/>
      <c r="V72" s="177"/>
      <c r="W72" s="177"/>
      <c r="X72" s="177"/>
      <c r="Y72" s="177"/>
      <c r="Z72" s="177"/>
      <c r="AA72" s="177"/>
    </row>
    <row r="73" spans="1:27" s="185" customFormat="1" x14ac:dyDescent="0.2">
      <c r="A73" s="177"/>
      <c r="B73" s="177"/>
      <c r="C73" s="177"/>
      <c r="D73" s="177"/>
      <c r="E73" s="177"/>
      <c r="F73" s="177"/>
      <c r="G73" s="177"/>
      <c r="H73" s="177"/>
      <c r="I73" s="177"/>
      <c r="K73" s="177"/>
      <c r="L73" s="177"/>
      <c r="M73" s="177"/>
      <c r="N73" s="177"/>
      <c r="O73" s="177"/>
      <c r="P73" s="177"/>
      <c r="Q73" s="177"/>
      <c r="R73" s="177"/>
      <c r="S73" s="177"/>
      <c r="T73" s="177"/>
      <c r="U73" s="177"/>
      <c r="V73" s="177"/>
      <c r="W73" s="177"/>
      <c r="X73" s="177"/>
      <c r="Y73" s="177"/>
      <c r="Z73" s="177"/>
      <c r="AA73" s="177"/>
    </row>
    <row r="74" spans="1:27" s="185" customFormat="1" x14ac:dyDescent="0.2">
      <c r="A74" s="177"/>
      <c r="B74" s="177"/>
      <c r="C74" s="177"/>
      <c r="D74" s="177"/>
      <c r="E74" s="177"/>
      <c r="F74" s="177"/>
      <c r="G74" s="177"/>
      <c r="H74" s="177"/>
      <c r="I74" s="177"/>
      <c r="J74" s="177"/>
      <c r="K74" s="177"/>
      <c r="L74" s="177"/>
      <c r="M74" s="177"/>
      <c r="N74" s="177"/>
      <c r="O74" s="177"/>
      <c r="P74" s="177"/>
      <c r="Q74" s="177"/>
      <c r="R74" s="177"/>
      <c r="S74" s="177"/>
      <c r="T74" s="177"/>
      <c r="U74" s="177"/>
      <c r="V74" s="177"/>
      <c r="W74" s="177"/>
      <c r="X74" s="177"/>
      <c r="Y74" s="177"/>
      <c r="Z74" s="177"/>
      <c r="AA74" s="177"/>
    </row>
    <row r="75" spans="1:27" s="185" customFormat="1" x14ac:dyDescent="0.2">
      <c r="B75" s="177"/>
      <c r="C75" s="177"/>
      <c r="D75" s="177"/>
      <c r="E75" s="177"/>
      <c r="F75" s="177"/>
      <c r="G75" s="177"/>
      <c r="H75" s="177"/>
      <c r="I75" s="177"/>
      <c r="J75" s="177"/>
      <c r="K75" s="177"/>
      <c r="L75" s="177"/>
      <c r="M75" s="177"/>
      <c r="N75" s="177"/>
      <c r="O75" s="177"/>
      <c r="P75" s="177"/>
      <c r="Q75" s="177"/>
      <c r="R75" s="177"/>
      <c r="S75" s="177"/>
      <c r="T75" s="177"/>
      <c r="U75" s="177"/>
      <c r="V75" s="177"/>
      <c r="W75" s="177"/>
      <c r="X75" s="177"/>
      <c r="Y75" s="177"/>
      <c r="Z75" s="177"/>
      <c r="AA75" s="177"/>
    </row>
    <row r="76" spans="1:27" s="185" customFormat="1" x14ac:dyDescent="0.2">
      <c r="B76" s="177"/>
      <c r="C76" s="177"/>
      <c r="D76" s="177"/>
      <c r="E76" s="177"/>
      <c r="F76" s="177"/>
      <c r="G76" s="177"/>
      <c r="H76" s="177"/>
      <c r="I76" s="177"/>
      <c r="J76" s="177"/>
      <c r="K76" s="177"/>
      <c r="L76" s="177"/>
      <c r="M76" s="177"/>
      <c r="N76" s="177"/>
      <c r="O76" s="177"/>
      <c r="P76" s="177"/>
      <c r="Q76" s="177"/>
      <c r="R76" s="177"/>
      <c r="S76" s="177"/>
      <c r="T76" s="177"/>
      <c r="U76" s="177"/>
      <c r="V76" s="177"/>
      <c r="W76" s="177"/>
      <c r="X76" s="177"/>
      <c r="Y76" s="177"/>
      <c r="Z76" s="177"/>
      <c r="AA76" s="177"/>
    </row>
    <row r="77" spans="1:27" s="185" customFormat="1" x14ac:dyDescent="0.2">
      <c r="B77" s="177"/>
      <c r="C77" s="177"/>
      <c r="D77" s="177"/>
      <c r="E77" s="177"/>
      <c r="F77" s="177"/>
      <c r="G77" s="177"/>
      <c r="H77" s="177"/>
      <c r="I77" s="177"/>
      <c r="J77" s="177"/>
      <c r="K77" s="177"/>
      <c r="L77" s="177"/>
      <c r="M77" s="177"/>
      <c r="N77" s="177"/>
      <c r="O77" s="177"/>
      <c r="P77" s="177"/>
      <c r="Q77" s="177"/>
      <c r="R77" s="177"/>
      <c r="S77" s="177"/>
      <c r="T77" s="177"/>
      <c r="U77" s="177"/>
      <c r="V77" s="177"/>
      <c r="W77" s="177"/>
      <c r="X77" s="177"/>
      <c r="Y77" s="177"/>
      <c r="Z77" s="177"/>
      <c r="AA77" s="177"/>
    </row>
    <row r="78" spans="1:27" s="185" customFormat="1" x14ac:dyDescent="0.2">
      <c r="A78" s="177"/>
      <c r="B78" s="177"/>
      <c r="C78" s="177"/>
      <c r="D78" s="177"/>
      <c r="E78" s="177"/>
      <c r="F78" s="177"/>
      <c r="G78" s="177"/>
      <c r="H78" s="177"/>
      <c r="I78" s="177"/>
      <c r="J78" s="177"/>
      <c r="K78" s="177"/>
      <c r="L78" s="177"/>
      <c r="M78" s="177"/>
      <c r="N78" s="177"/>
      <c r="O78" s="177"/>
      <c r="P78" s="177"/>
      <c r="Q78" s="177"/>
      <c r="R78" s="177"/>
      <c r="S78" s="177"/>
      <c r="T78" s="177"/>
      <c r="U78" s="177"/>
      <c r="V78" s="177"/>
      <c r="W78" s="177"/>
      <c r="X78" s="177"/>
      <c r="Y78" s="177"/>
      <c r="Z78" s="177"/>
      <c r="AA78" s="177"/>
    </row>
    <row r="79" spans="1:27" s="185" customFormat="1" x14ac:dyDescent="0.2">
      <c r="L79" s="177"/>
      <c r="M79" s="177"/>
      <c r="N79" s="177"/>
      <c r="O79" s="177"/>
      <c r="P79" s="177"/>
      <c r="Q79" s="177"/>
      <c r="R79" s="177"/>
      <c r="S79" s="177"/>
      <c r="T79" s="177"/>
      <c r="U79" s="177"/>
      <c r="V79" s="177"/>
      <c r="W79" s="177"/>
      <c r="X79" s="177"/>
      <c r="Y79" s="177"/>
      <c r="Z79" s="177"/>
      <c r="AA79" s="177"/>
    </row>
    <row r="80" spans="1:27" s="185" customFormat="1" x14ac:dyDescent="0.2">
      <c r="L80" s="177"/>
      <c r="M80" s="177"/>
      <c r="N80" s="177"/>
      <c r="O80" s="177"/>
      <c r="P80" s="177"/>
      <c r="Q80" s="177"/>
      <c r="R80" s="177"/>
      <c r="S80" s="177"/>
      <c r="T80" s="177"/>
      <c r="U80" s="177"/>
      <c r="V80" s="177"/>
      <c r="W80" s="177"/>
      <c r="X80" s="177"/>
      <c r="Y80" s="177"/>
      <c r="Z80" s="177"/>
      <c r="AA80" s="177"/>
    </row>
    <row r="81" spans="1:27" s="185" customFormat="1" x14ac:dyDescent="0.2">
      <c r="A81" s="231"/>
      <c r="I81" s="238"/>
      <c r="J81" s="239"/>
      <c r="K81" s="239"/>
      <c r="L81" s="177"/>
      <c r="M81" s="177"/>
      <c r="N81" s="177"/>
      <c r="O81" s="177"/>
      <c r="P81" s="177"/>
      <c r="Q81" s="177"/>
      <c r="R81" s="177"/>
      <c r="S81" s="177"/>
      <c r="T81" s="177"/>
      <c r="U81" s="177"/>
      <c r="V81" s="177"/>
      <c r="W81" s="177"/>
      <c r="X81" s="177"/>
      <c r="Y81" s="177"/>
      <c r="Z81" s="177"/>
      <c r="AA81" s="177"/>
    </row>
    <row r="82" spans="1:27" s="185" customFormat="1" x14ac:dyDescent="0.2">
      <c r="A82" s="231"/>
      <c r="I82" s="238"/>
      <c r="J82" s="239"/>
      <c r="K82" s="239"/>
      <c r="L82" s="177"/>
      <c r="M82" s="177"/>
      <c r="N82" s="177"/>
      <c r="O82" s="177"/>
      <c r="P82" s="177"/>
      <c r="Q82" s="177"/>
      <c r="R82" s="177"/>
      <c r="S82" s="177"/>
      <c r="T82" s="177"/>
      <c r="U82" s="177"/>
      <c r="V82" s="177"/>
      <c r="W82" s="177"/>
      <c r="X82" s="177"/>
      <c r="Y82" s="177"/>
      <c r="Z82" s="177"/>
      <c r="AA82" s="177"/>
    </row>
    <row r="83" spans="1:27" s="185" customFormat="1" x14ac:dyDescent="0.2">
      <c r="A83" s="231"/>
      <c r="I83" s="238"/>
      <c r="J83" s="239"/>
      <c r="K83" s="239"/>
      <c r="L83" s="177"/>
      <c r="M83" s="177"/>
      <c r="N83" s="177"/>
      <c r="O83" s="177"/>
      <c r="P83" s="177"/>
      <c r="Q83" s="177"/>
      <c r="R83" s="177"/>
      <c r="S83" s="177"/>
      <c r="T83" s="177"/>
      <c r="U83" s="177"/>
      <c r="V83" s="177"/>
      <c r="W83" s="177"/>
      <c r="X83" s="177"/>
      <c r="Y83" s="177"/>
      <c r="Z83" s="177"/>
      <c r="AA83" s="177"/>
    </row>
    <row r="84" spans="1:27" s="185" customFormat="1" x14ac:dyDescent="0.2">
      <c r="A84" s="231"/>
      <c r="I84" s="238"/>
      <c r="J84" s="239"/>
      <c r="K84" s="239"/>
      <c r="L84" s="177"/>
      <c r="M84" s="177"/>
      <c r="N84" s="177"/>
      <c r="O84" s="177"/>
      <c r="P84" s="177"/>
      <c r="Q84" s="177"/>
      <c r="R84" s="177"/>
      <c r="S84" s="177"/>
      <c r="T84" s="177"/>
      <c r="U84" s="177"/>
      <c r="V84" s="177"/>
      <c r="W84" s="177"/>
      <c r="X84" s="177"/>
      <c r="Y84" s="177"/>
      <c r="Z84" s="177"/>
      <c r="AA84" s="177"/>
    </row>
    <row r="85" spans="1:27" s="185" customFormat="1" x14ac:dyDescent="0.2">
      <c r="L85" s="177"/>
      <c r="M85" s="177"/>
      <c r="N85" s="177"/>
      <c r="O85" s="177"/>
      <c r="P85" s="177"/>
      <c r="Q85" s="177"/>
      <c r="R85" s="177"/>
      <c r="S85" s="177"/>
      <c r="T85" s="177"/>
      <c r="U85" s="177"/>
      <c r="V85" s="177"/>
      <c r="W85" s="177"/>
      <c r="X85" s="177"/>
      <c r="Y85" s="177"/>
      <c r="Z85" s="177"/>
      <c r="AA85" s="177"/>
    </row>
    <row r="86" spans="1:27" s="185" customFormat="1" x14ac:dyDescent="0.2">
      <c r="L86" s="177"/>
      <c r="M86" s="177"/>
      <c r="N86" s="177"/>
      <c r="O86" s="177"/>
      <c r="P86" s="177"/>
      <c r="Q86" s="177"/>
      <c r="R86" s="177"/>
      <c r="S86" s="177"/>
      <c r="T86" s="177"/>
      <c r="U86" s="177"/>
      <c r="V86" s="177"/>
      <c r="W86" s="177"/>
      <c r="X86" s="177"/>
      <c r="Y86" s="177"/>
      <c r="Z86" s="177"/>
      <c r="AA86" s="177"/>
    </row>
    <row r="87" spans="1:27" s="185" customFormat="1" x14ac:dyDescent="0.2">
      <c r="L87" s="177"/>
      <c r="M87" s="177"/>
      <c r="N87" s="177"/>
      <c r="O87" s="177"/>
      <c r="P87" s="177"/>
      <c r="Q87" s="177"/>
      <c r="R87" s="177"/>
      <c r="S87" s="177"/>
      <c r="T87" s="177"/>
      <c r="U87" s="177"/>
      <c r="V87" s="177"/>
      <c r="W87" s="177"/>
      <c r="X87" s="177"/>
      <c r="Y87" s="177"/>
      <c r="Z87" s="177"/>
      <c r="AA87" s="177"/>
    </row>
    <row r="88" spans="1:27" s="185" customFormat="1" x14ac:dyDescent="0.2">
      <c r="L88" s="177"/>
      <c r="M88" s="177"/>
      <c r="N88" s="177"/>
      <c r="O88" s="177"/>
      <c r="P88" s="177"/>
      <c r="Q88" s="177"/>
      <c r="R88" s="177"/>
      <c r="S88" s="177"/>
      <c r="T88" s="177"/>
      <c r="U88" s="177"/>
      <c r="V88" s="177"/>
      <c r="W88" s="177"/>
      <c r="X88" s="177"/>
      <c r="Y88" s="177"/>
      <c r="Z88" s="177"/>
      <c r="AA88" s="177"/>
    </row>
    <row r="89" spans="1:27" s="185" customFormat="1" x14ac:dyDescent="0.2">
      <c r="L89" s="177"/>
      <c r="M89" s="177"/>
      <c r="N89" s="177"/>
      <c r="O89" s="177"/>
      <c r="P89" s="177"/>
      <c r="Q89" s="177"/>
      <c r="R89" s="177"/>
      <c r="S89" s="177"/>
      <c r="T89" s="177"/>
      <c r="U89" s="177"/>
      <c r="V89" s="177"/>
      <c r="W89" s="177"/>
      <c r="X89" s="177"/>
      <c r="Y89" s="177"/>
      <c r="Z89" s="177"/>
      <c r="AA89" s="177"/>
    </row>
    <row r="90" spans="1:27" s="185" customFormat="1" x14ac:dyDescent="0.2">
      <c r="L90" s="177"/>
      <c r="M90" s="177"/>
      <c r="N90" s="177"/>
      <c r="O90" s="177"/>
      <c r="P90" s="177"/>
      <c r="Q90" s="177"/>
      <c r="R90" s="177"/>
      <c r="S90" s="177"/>
      <c r="T90" s="177"/>
      <c r="U90" s="177"/>
      <c r="V90" s="177"/>
      <c r="W90" s="177"/>
      <c r="X90" s="177"/>
      <c r="Y90" s="177"/>
      <c r="Z90" s="177"/>
      <c r="AA90" s="177"/>
    </row>
    <row r="92" spans="1:27" s="185" customFormat="1" ht="12.75" customHeight="1" x14ac:dyDescent="0.2">
      <c r="L92" s="177"/>
      <c r="M92" s="177"/>
      <c r="N92" s="177"/>
      <c r="O92" s="177"/>
      <c r="P92" s="177"/>
      <c r="Q92" s="177"/>
      <c r="R92" s="177"/>
      <c r="S92" s="177"/>
      <c r="T92" s="177"/>
      <c r="U92" s="177"/>
      <c r="V92" s="177"/>
      <c r="W92" s="177"/>
      <c r="X92" s="177"/>
      <c r="Y92" s="177"/>
      <c r="Z92" s="177"/>
      <c r="AA92" s="177"/>
    </row>
    <row r="97" spans="10:27" s="185" customFormat="1" ht="12.75" customHeight="1" x14ac:dyDescent="0.2">
      <c r="J97" s="177"/>
      <c r="K97" s="177"/>
      <c r="L97" s="177"/>
      <c r="M97" s="177"/>
      <c r="N97" s="177"/>
      <c r="O97" s="177"/>
      <c r="P97" s="177"/>
      <c r="Q97" s="177"/>
      <c r="R97" s="177"/>
      <c r="S97" s="177"/>
      <c r="T97" s="177"/>
      <c r="U97" s="177"/>
      <c r="V97" s="177"/>
      <c r="W97" s="177"/>
      <c r="X97" s="177"/>
      <c r="Y97" s="177"/>
      <c r="Z97" s="177"/>
      <c r="AA97" s="177"/>
    </row>
    <row r="98" spans="10:27" s="185" customFormat="1" ht="12.75" customHeight="1" x14ac:dyDescent="0.2">
      <c r="J98" s="177"/>
      <c r="K98" s="177"/>
      <c r="L98" s="177"/>
      <c r="M98" s="177"/>
      <c r="N98" s="177"/>
      <c r="O98" s="177"/>
      <c r="P98" s="177"/>
      <c r="Q98" s="177"/>
      <c r="R98" s="177"/>
      <c r="S98" s="177"/>
      <c r="T98" s="177"/>
      <c r="U98" s="177"/>
      <c r="V98" s="177"/>
      <c r="W98" s="177"/>
      <c r="X98" s="177"/>
      <c r="Y98" s="177"/>
      <c r="Z98" s="177"/>
      <c r="AA98" s="177"/>
    </row>
    <row r="99" spans="10:27" s="185" customFormat="1" ht="12.75" customHeight="1" x14ac:dyDescent="0.2">
      <c r="J99" s="177"/>
      <c r="K99" s="177"/>
      <c r="L99" s="177"/>
      <c r="M99" s="177"/>
      <c r="N99" s="177"/>
      <c r="O99" s="177"/>
      <c r="P99" s="177"/>
      <c r="Q99" s="177"/>
      <c r="R99" s="177"/>
      <c r="S99" s="177"/>
      <c r="T99" s="177"/>
      <c r="U99" s="177"/>
      <c r="V99" s="177"/>
      <c r="W99" s="177"/>
      <c r="X99" s="177"/>
      <c r="Y99" s="177"/>
      <c r="Z99" s="177"/>
      <c r="AA99" s="177"/>
    </row>
    <row r="106" spans="10:27" s="185" customFormat="1" ht="12.75" customHeight="1" x14ac:dyDescent="0.2">
      <c r="J106" s="177"/>
      <c r="K106" s="177"/>
      <c r="L106" s="177"/>
      <c r="M106" s="177"/>
      <c r="N106" s="177"/>
      <c r="O106" s="177"/>
      <c r="P106" s="177"/>
      <c r="Q106" s="177"/>
      <c r="R106" s="177"/>
      <c r="S106" s="177"/>
      <c r="T106" s="177"/>
      <c r="U106" s="177"/>
      <c r="V106" s="177"/>
      <c r="W106" s="177"/>
      <c r="X106" s="177"/>
      <c r="Y106" s="177"/>
      <c r="Z106" s="177"/>
      <c r="AA106" s="177"/>
    </row>
  </sheetData>
  <sheetProtection algorithmName="SHA-512" hashValue="Fu87w6AaBLnxT0BEe7SyAfetx1IYDSPllpKTWArC33unW4Re441UgV/haYa3UevvWiPJgRibg//cHOIDi4S4Dw==" saltValue="6idb1ESr7DMj9KtKbQA/vg==" spinCount="100000" sheet="1" objects="1" scenarios="1"/>
  <phoneticPr fontId="0" type="noConversion"/>
  <pageMargins left="0.9055118110236221" right="0.19685039370078741" top="0.47244094488188981" bottom="0.39370078740157483" header="0.51181102362204722" footer="0.19685039370078741"/>
  <pageSetup scale="68" orientation="portrait"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E1047"/>
    <pageSetUpPr fitToPage="1"/>
  </sheetPr>
  <dimension ref="A1:BH473"/>
  <sheetViews>
    <sheetView showGridLines="0" topLeftCell="B1" zoomScale="109" zoomScaleNormal="110" workbookViewId="0">
      <selection activeCell="B11" sqref="B11"/>
    </sheetView>
  </sheetViews>
  <sheetFormatPr baseColWidth="10" defaultColWidth="12.5703125" defaultRowHeight="12.75" x14ac:dyDescent="0.2"/>
  <cols>
    <col min="1" max="1" width="6" style="21" customWidth="1"/>
    <col min="2" max="2" width="33.140625" style="21" customWidth="1"/>
    <col min="3" max="3" width="18.5703125" style="21" customWidth="1"/>
    <col min="4" max="4" width="18.85546875" style="21" customWidth="1"/>
    <col min="5" max="5" width="19" style="21" customWidth="1"/>
    <col min="6" max="6" width="18.85546875" style="21" customWidth="1"/>
    <col min="7" max="7" width="19" style="21" customWidth="1"/>
    <col min="8" max="9" width="19.140625" style="21" customWidth="1"/>
    <col min="10" max="12" width="16.85546875" style="21" customWidth="1"/>
    <col min="13" max="13" width="13.7109375" style="21" customWidth="1"/>
    <col min="14" max="16" width="12.5703125" style="21" customWidth="1"/>
    <col min="17" max="17" width="17.42578125" style="21" customWidth="1"/>
    <col min="18" max="18" width="39.5703125" style="21" customWidth="1"/>
    <col min="19" max="19" width="19.140625" style="21" customWidth="1"/>
    <col min="20" max="20" width="19.42578125" style="21" customWidth="1"/>
    <col min="21" max="21" width="18.7109375" style="21" customWidth="1"/>
    <col min="22" max="22" width="19.5703125" style="21" customWidth="1"/>
    <col min="23" max="23" width="19.140625" style="21" customWidth="1"/>
    <col min="24" max="24" width="18.5703125" style="21" customWidth="1"/>
    <col min="25" max="16384" width="12.5703125" style="21"/>
  </cols>
  <sheetData>
    <row r="1" spans="2:32" ht="15" x14ac:dyDescent="0.2">
      <c r="B1" s="87"/>
      <c r="C1" s="87"/>
      <c r="AE1" s="21" t="s">
        <v>332</v>
      </c>
      <c r="AF1" s="21">
        <v>3</v>
      </c>
    </row>
    <row r="2" spans="2:32" ht="15" x14ac:dyDescent="0.2">
      <c r="B2" s="87"/>
      <c r="C2" s="87"/>
      <c r="AE2" s="21" t="s">
        <v>333</v>
      </c>
      <c r="AF2" s="21">
        <v>6</v>
      </c>
    </row>
    <row r="3" spans="2:32" x14ac:dyDescent="0.2">
      <c r="AE3" s="21" t="s">
        <v>334</v>
      </c>
      <c r="AF3" s="21">
        <v>9</v>
      </c>
    </row>
    <row r="4" spans="2:32" x14ac:dyDescent="0.2">
      <c r="AE4" s="21" t="s">
        <v>335</v>
      </c>
      <c r="AF4" s="21">
        <v>12</v>
      </c>
    </row>
    <row r="6" spans="2:32" ht="16.5" thickBot="1" x14ac:dyDescent="0.3">
      <c r="B6" s="127" t="s">
        <v>331</v>
      </c>
    </row>
    <row r="7" spans="2:32" ht="13.5" thickBot="1" x14ac:dyDescent="0.25">
      <c r="B7" s="252" t="str">
        <f>+'BALANCES COMP'!A5</f>
        <v>HOSPITAL REGIONAL DE MONIQUIRÁ E.S.E.</v>
      </c>
      <c r="C7" s="253"/>
      <c r="D7" s="253"/>
      <c r="E7" s="253"/>
      <c r="F7" s="253"/>
      <c r="G7" s="253"/>
      <c r="H7" s="253"/>
      <c r="I7" s="254"/>
      <c r="J7" s="258" t="s">
        <v>107</v>
      </c>
      <c r="K7" s="261"/>
      <c r="L7" s="261"/>
      <c r="M7" s="261"/>
      <c r="N7" s="261"/>
      <c r="O7" s="261"/>
      <c r="P7" s="262"/>
      <c r="Q7" s="263"/>
      <c r="R7" s="11" t="str">
        <f>+'BALANCES COMP'!A5</f>
        <v>HOSPITAL REGIONAL DE MONIQUIRÁ E.S.E.</v>
      </c>
      <c r="S7" s="11"/>
      <c r="T7" s="11"/>
    </row>
    <row r="8" spans="2:32" s="28" customFormat="1" ht="13.5" thickBot="1" x14ac:dyDescent="0.25">
      <c r="B8" s="255" t="s">
        <v>324</v>
      </c>
      <c r="C8" s="256"/>
      <c r="D8" s="256"/>
      <c r="E8" s="256"/>
      <c r="F8" s="256"/>
      <c r="G8" s="256"/>
      <c r="H8" s="256"/>
      <c r="I8" s="257"/>
      <c r="J8" s="264" t="s">
        <v>109</v>
      </c>
      <c r="K8" s="265"/>
      <c r="L8" s="265"/>
      <c r="M8" s="265"/>
      <c r="N8" s="265"/>
      <c r="O8" s="91"/>
      <c r="P8" s="91"/>
      <c r="Q8" s="91" t="s">
        <v>110</v>
      </c>
      <c r="R8" s="146" t="s">
        <v>108</v>
      </c>
      <c r="S8" s="147">
        <f t="shared" ref="S8:Y8" si="0">C9</f>
        <v>43100</v>
      </c>
      <c r="T8" s="147">
        <f t="shared" si="0"/>
        <v>43465</v>
      </c>
      <c r="U8" s="147">
        <f t="shared" si="0"/>
        <v>43830</v>
      </c>
      <c r="V8" s="147">
        <f t="shared" si="0"/>
        <v>44196</v>
      </c>
      <c r="W8" s="147">
        <f t="shared" si="0"/>
        <v>44561</v>
      </c>
      <c r="X8" s="147">
        <f t="shared" si="0"/>
        <v>44926</v>
      </c>
      <c r="Y8" s="154">
        <f t="shared" si="0"/>
        <v>45138</v>
      </c>
    </row>
    <row r="9" spans="2:32" x14ac:dyDescent="0.2">
      <c r="B9" s="150" t="s">
        <v>111</v>
      </c>
      <c r="C9" s="151">
        <f>DATE(2017,12,31)</f>
        <v>43100</v>
      </c>
      <c r="D9" s="151">
        <f>DATE(2018,12,31)</f>
        <v>43465</v>
      </c>
      <c r="E9" s="151">
        <f>DATE(2019,12,31)</f>
        <v>43830</v>
      </c>
      <c r="F9" s="151">
        <f>DATE(2020,12,31)</f>
        <v>44196</v>
      </c>
      <c r="G9" s="151">
        <f>DATE(2021,12,31)</f>
        <v>44561</v>
      </c>
      <c r="H9" s="151">
        <f>DATE(2022,12,31)</f>
        <v>44926</v>
      </c>
      <c r="I9" s="244">
        <f>DATE(2023,7,31)</f>
        <v>45138</v>
      </c>
      <c r="J9" s="149">
        <f t="shared" ref="J9:P9" si="1">C9</f>
        <v>43100</v>
      </c>
      <c r="K9" s="88">
        <f t="shared" si="1"/>
        <v>43465</v>
      </c>
      <c r="L9" s="88">
        <f t="shared" si="1"/>
        <v>43830</v>
      </c>
      <c r="M9" s="88">
        <f t="shared" si="1"/>
        <v>44196</v>
      </c>
      <c r="N9" s="88">
        <f t="shared" si="1"/>
        <v>44561</v>
      </c>
      <c r="O9" s="88">
        <f t="shared" si="1"/>
        <v>44926</v>
      </c>
      <c r="P9" s="88">
        <f t="shared" si="1"/>
        <v>45138</v>
      </c>
      <c r="Q9" s="128" t="s">
        <v>402</v>
      </c>
      <c r="R9" s="259" t="s">
        <v>112</v>
      </c>
      <c r="S9" s="260"/>
      <c r="T9" s="260"/>
      <c r="U9" s="260"/>
      <c r="V9" s="260"/>
      <c r="W9" s="260"/>
      <c r="X9" s="143"/>
      <c r="Y9" s="135"/>
    </row>
    <row r="10" spans="2:32" x14ac:dyDescent="0.2">
      <c r="B10" s="92"/>
      <c r="C10" s="89"/>
      <c r="D10" s="89"/>
      <c r="E10" s="89"/>
      <c r="F10" s="26"/>
      <c r="G10" s="26"/>
      <c r="H10" s="26"/>
      <c r="I10" s="102"/>
      <c r="J10" s="26"/>
      <c r="K10" s="26"/>
      <c r="L10" s="26"/>
      <c r="Q10" s="111"/>
      <c r="R10" s="119" t="s">
        <v>114</v>
      </c>
      <c r="S10" s="120">
        <f t="shared" ref="S10:Y10" si="2">C29/C50</f>
        <v>2.6747037600824517</v>
      </c>
      <c r="T10" s="120">
        <f t="shared" si="2"/>
        <v>2.0842188171282143</v>
      </c>
      <c r="U10" s="120">
        <f t="shared" si="2"/>
        <v>2.4273109001797257</v>
      </c>
      <c r="V10" s="120">
        <f t="shared" si="2"/>
        <v>3.2442453574984986</v>
      </c>
      <c r="W10" s="120">
        <f t="shared" si="2"/>
        <v>7.3608124387308225</v>
      </c>
      <c r="X10" s="120">
        <f t="shared" si="2"/>
        <v>7.3572246836832687</v>
      </c>
      <c r="Y10" s="136">
        <f t="shared" si="2"/>
        <v>9.2769033898089308</v>
      </c>
    </row>
    <row r="11" spans="2:32" x14ac:dyDescent="0.2">
      <c r="B11" s="93" t="s">
        <v>113</v>
      </c>
      <c r="C11" s="26">
        <f>+'RESULTADOS DESAGR'!O16</f>
        <v>11541503424</v>
      </c>
      <c r="D11" s="26">
        <f>+'RESULTADOS DESAGR'!M16</f>
        <v>12385957698</v>
      </c>
      <c r="E11" s="26">
        <f>+'RESULTADOS DESAGR'!K16</f>
        <v>15940285095</v>
      </c>
      <c r="F11" s="26">
        <f>+'RESULTADOS DESAGR'!I16</f>
        <v>17859961309</v>
      </c>
      <c r="G11" s="26">
        <f>+'RESULTADOS DESAGR'!G16</f>
        <v>37785359781</v>
      </c>
      <c r="H11" s="26">
        <f>+'RESULTADOS DESAGR'!E16</f>
        <v>51292650679</v>
      </c>
      <c r="I11" s="102">
        <f>+'RESULTADOS DESAGR'!C16</f>
        <v>50932066196.379997</v>
      </c>
      <c r="J11" s="24">
        <f>C11/($C$11+$C$12)</f>
        <v>0.97963743762365663</v>
      </c>
      <c r="K11" s="24">
        <f>D11/($D$11+$D$12)</f>
        <v>0.69405779491188591</v>
      </c>
      <c r="L11" s="24">
        <f>E11/($E$11+$E$12)</f>
        <v>0.381734190699553</v>
      </c>
      <c r="M11" s="24">
        <f>F11/($F$11+$F$12)</f>
        <v>0.91377302532700344</v>
      </c>
      <c r="N11" s="24">
        <f>G11/($G$11+$G$12)</f>
        <v>0.97299396096160617</v>
      </c>
      <c r="O11" s="24">
        <f>H11/($H$11+$H$12)</f>
        <v>0.99040574417169769</v>
      </c>
      <c r="P11" s="24">
        <f>I11/($I$11+$I$12)</f>
        <v>0.99734969422163755</v>
      </c>
      <c r="Q11" s="111">
        <f>+(I11*$BH$470-H11)/H11</f>
        <v>0.70223438102128499</v>
      </c>
      <c r="R11" s="119" t="s">
        <v>116</v>
      </c>
      <c r="S11" s="120">
        <f t="shared" ref="S11:Y11" si="3">C45/C55</f>
        <v>4.6565253638863897</v>
      </c>
      <c r="T11" s="120">
        <f t="shared" si="3"/>
        <v>3.7265269181785996</v>
      </c>
      <c r="U11" s="120">
        <f t="shared" si="3"/>
        <v>9.6115664771209399</v>
      </c>
      <c r="V11" s="120">
        <f t="shared" si="3"/>
        <v>11.107151565770002</v>
      </c>
      <c r="W11" s="120">
        <f t="shared" si="3"/>
        <v>17.29162910803214</v>
      </c>
      <c r="X11" s="120">
        <f t="shared" si="3"/>
        <v>15.308982301812604</v>
      </c>
      <c r="Y11" s="136">
        <f t="shared" si="3"/>
        <v>14.967848568634105</v>
      </c>
    </row>
    <row r="12" spans="2:32" x14ac:dyDescent="0.2">
      <c r="B12" s="93" t="s">
        <v>115</v>
      </c>
      <c r="C12" s="26">
        <f>+'RESULTADOS DESAGR'!O20</f>
        <v>239899553</v>
      </c>
      <c r="D12" s="26">
        <f>+'RESULTADOS DESAGR'!M20</f>
        <v>5459757441</v>
      </c>
      <c r="E12" s="26">
        <f>+'RESULTADOS DESAGR'!K20</f>
        <v>25817266320</v>
      </c>
      <c r="F12" s="26">
        <f>+'RESULTADOS DESAGR'!I20</f>
        <v>1685331465</v>
      </c>
      <c r="G12" s="26">
        <f>(+'RESULTADOS DESAGR'!G20)</f>
        <v>1048755637</v>
      </c>
      <c r="H12" s="26">
        <f>(+'RESULTADOS DESAGR'!E20)</f>
        <v>496882026</v>
      </c>
      <c r="I12" s="102">
        <f>(+'RESULTADOS DESAGR'!C20)</f>
        <v>135344253</v>
      </c>
      <c r="J12" s="24">
        <f>C12/($C$11+$C$12)</f>
        <v>2.0362562376343374E-2</v>
      </c>
      <c r="K12" s="24">
        <f>D12/($D$11+$D$12)</f>
        <v>0.30594220508811404</v>
      </c>
      <c r="L12" s="24">
        <f>E12/($E$11+$E$12)</f>
        <v>0.61826580930044694</v>
      </c>
      <c r="M12" s="24">
        <f>F12/($F$11+$F$12)</f>
        <v>8.6226974672996531E-2</v>
      </c>
      <c r="N12" s="24">
        <f>G12/($G$11+$G$12)</f>
        <v>2.7006039038393836E-2</v>
      </c>
      <c r="O12" s="24">
        <f>H12/($H$11+$H$12)</f>
        <v>9.594255828302322E-3</v>
      </c>
      <c r="P12" s="24">
        <f t="shared" ref="P12:P20" si="4">I12/($I$11+$I$12)</f>
        <v>2.6503057783624742E-3</v>
      </c>
      <c r="Q12" s="111">
        <f t="shared" ref="Q12:Q20" si="5">+(I12*$BH$470-H12)/H12</f>
        <v>-0.53305068952409362</v>
      </c>
      <c r="R12" s="119" t="s">
        <v>118</v>
      </c>
      <c r="S12" s="120">
        <f t="shared" ref="S12:Y12" si="6">(+C29-SUM(C26:C27))/C50</f>
        <v>2.6451959995498537</v>
      </c>
      <c r="T12" s="120">
        <f t="shared" si="6"/>
        <v>2.0569102367355989</v>
      </c>
      <c r="U12" s="120">
        <f t="shared" si="6"/>
        <v>2.3854728087096904</v>
      </c>
      <c r="V12" s="120">
        <f t="shared" si="6"/>
        <v>3.1522372655020763</v>
      </c>
      <c r="W12" s="120">
        <f t="shared" si="6"/>
        <v>7.0865979223617552</v>
      </c>
      <c r="X12" s="120">
        <f t="shared" si="6"/>
        <v>7.047980394468766</v>
      </c>
      <c r="Y12" s="136">
        <f t="shared" si="6"/>
        <v>8.8467003457036189</v>
      </c>
    </row>
    <row r="13" spans="2:32" x14ac:dyDescent="0.2">
      <c r="B13" s="93" t="s">
        <v>117</v>
      </c>
      <c r="C13" s="26">
        <f>+'RESULTADOS DESAGR'!O24</f>
        <v>7405797390</v>
      </c>
      <c r="D13" s="26">
        <f>+'RESULTADOS DESAGR'!M24</f>
        <v>7973339034</v>
      </c>
      <c r="E13" s="26">
        <f>+'RESULTADOS DESAGR'!K24</f>
        <v>9482000646</v>
      </c>
      <c r="F13" s="26">
        <f>+'RESULTADOS DESAGR'!I24</f>
        <v>11511941113</v>
      </c>
      <c r="G13" s="26">
        <f>+'RESULTADOS DESAGR'!G24</f>
        <v>19672091742</v>
      </c>
      <c r="H13" s="26">
        <f>+'RESULTADOS DESAGR'!E24</f>
        <v>26291708810.060001</v>
      </c>
      <c r="I13" s="102">
        <f>+'RESULTADOS DESAGR'!C24</f>
        <v>22639595536.66</v>
      </c>
      <c r="J13" s="24">
        <f>C13/C11</f>
        <v>0.64166661117996127</v>
      </c>
      <c r="K13" s="24">
        <f>D13/D11</f>
        <v>0.64374021197307019</v>
      </c>
      <c r="L13" s="24">
        <f>E13/E11</f>
        <v>0.59484511032831056</v>
      </c>
      <c r="M13" s="24">
        <f>F13/F11</f>
        <v>0.64456696819376069</v>
      </c>
      <c r="N13" s="24">
        <f t="shared" ref="N13:N18" si="7">G13/$G$11</f>
        <v>0.52062735027580498</v>
      </c>
      <c r="O13" s="24">
        <f t="shared" ref="O13:O18" si="8">H13/$H$11</f>
        <v>0.51258237704654697</v>
      </c>
      <c r="P13" s="24">
        <f t="shared" si="4"/>
        <v>0.44332765921430944</v>
      </c>
      <c r="Q13" s="111">
        <f t="shared" si="5"/>
        <v>0.47615871931658926</v>
      </c>
      <c r="R13" s="119" t="s">
        <v>119</v>
      </c>
      <c r="S13" s="120">
        <f t="shared" ref="S13:Y13" si="9">C29/C45*100</f>
        <v>57.439905317086328</v>
      </c>
      <c r="T13" s="120">
        <f t="shared" si="9"/>
        <v>55.929256996938861</v>
      </c>
      <c r="U13" s="120">
        <f t="shared" si="9"/>
        <v>25.254061405678435</v>
      </c>
      <c r="V13" s="120">
        <f t="shared" si="9"/>
        <v>29.208616973379637</v>
      </c>
      <c r="W13" s="120">
        <f t="shared" si="9"/>
        <v>42.568646324432493</v>
      </c>
      <c r="X13" s="120">
        <f t="shared" si="9"/>
        <v>48.058221889851971</v>
      </c>
      <c r="Y13" s="136">
        <f t="shared" si="9"/>
        <v>61.978869890821578</v>
      </c>
    </row>
    <row r="14" spans="2:32" x14ac:dyDescent="0.2">
      <c r="B14" s="94" t="s">
        <v>224</v>
      </c>
      <c r="C14" s="25">
        <f t="shared" ref="C14:I14" si="10">C11+C12-C13</f>
        <v>4375605587</v>
      </c>
      <c r="D14" s="25">
        <f t="shared" si="10"/>
        <v>9872376105</v>
      </c>
      <c r="E14" s="25">
        <f t="shared" si="10"/>
        <v>32275550769</v>
      </c>
      <c r="F14" s="25">
        <f t="shared" si="10"/>
        <v>8033351661</v>
      </c>
      <c r="G14" s="25">
        <f t="shared" si="10"/>
        <v>19162023676</v>
      </c>
      <c r="H14" s="25">
        <f t="shared" si="10"/>
        <v>25497823894.939999</v>
      </c>
      <c r="I14" s="95">
        <f t="shared" si="10"/>
        <v>28427814912.719997</v>
      </c>
      <c r="J14" s="24">
        <f>C14/$C$11</f>
        <v>0.37911920364734625</v>
      </c>
      <c r="K14" s="24">
        <f>D14/$D$11</f>
        <v>0.79706199114454623</v>
      </c>
      <c r="L14" s="24">
        <f>E14/$E$11</f>
        <v>2.0247787650375146</v>
      </c>
      <c r="M14" s="24">
        <f>F14/$F$11</f>
        <v>0.44979670011669226</v>
      </c>
      <c r="N14" s="24">
        <f t="shared" si="7"/>
        <v>0.50712825779775783</v>
      </c>
      <c r="O14" s="24">
        <f t="shared" si="8"/>
        <v>0.49710482023069241</v>
      </c>
      <c r="P14" s="24">
        <f t="shared" si="4"/>
        <v>0.55667234078569061</v>
      </c>
      <c r="Q14" s="111">
        <f t="shared" si="5"/>
        <v>0.91127671106495245</v>
      </c>
      <c r="R14" s="119" t="s">
        <v>121</v>
      </c>
      <c r="S14" s="120">
        <f t="shared" ref="S14:Y14" si="11">C50/C55*100</f>
        <v>100</v>
      </c>
      <c r="T14" s="120">
        <f t="shared" si="11"/>
        <v>100</v>
      </c>
      <c r="U14" s="120">
        <f t="shared" si="11"/>
        <v>100</v>
      </c>
      <c r="V14" s="120">
        <f t="shared" si="11"/>
        <v>100</v>
      </c>
      <c r="W14" s="120">
        <f t="shared" si="11"/>
        <v>100</v>
      </c>
      <c r="X14" s="120">
        <f t="shared" si="11"/>
        <v>100</v>
      </c>
      <c r="Y14" s="136">
        <f t="shared" si="11"/>
        <v>100</v>
      </c>
    </row>
    <row r="15" spans="2:32" x14ac:dyDescent="0.2">
      <c r="B15" s="93" t="s">
        <v>120</v>
      </c>
      <c r="C15" s="26">
        <f>+'RESULTADOS DESAGR'!O28</f>
        <v>4390891466</v>
      </c>
      <c r="D15" s="26">
        <f>+'RESULTADOS DESAGR'!M28</f>
        <v>4237327031</v>
      </c>
      <c r="E15" s="26">
        <f>+'RESULTADOS DESAGR'!K28</f>
        <v>7423599046</v>
      </c>
      <c r="F15" s="26">
        <f>+'RESULTADOS DESAGR'!I28</f>
        <v>5403264419</v>
      </c>
      <c r="G15" s="26">
        <f>+'RESULTADOS DESAGR'!G28</f>
        <v>5738858026</v>
      </c>
      <c r="H15" s="26">
        <f>+'RESULTADOS DESAGR'!E28</f>
        <v>12456646162.52</v>
      </c>
      <c r="I15" s="102">
        <f>+'RESULTADOS DESAGR'!C28</f>
        <v>9210165158.8999996</v>
      </c>
      <c r="J15" s="24">
        <f>C15/$C$11</f>
        <v>0.3804436306685447</v>
      </c>
      <c r="K15" s="24">
        <f>D15/$D$11</f>
        <v>0.34210733915910391</v>
      </c>
      <c r="L15" s="24">
        <f>E15/$E$11</f>
        <v>0.46571306609369023</v>
      </c>
      <c r="M15" s="24">
        <f>F15/$F$11</f>
        <v>0.30253505735632163</v>
      </c>
      <c r="N15" s="24">
        <f t="shared" si="7"/>
        <v>0.15188046532471364</v>
      </c>
      <c r="O15" s="24">
        <f t="shared" si="8"/>
        <v>0.24285440501946887</v>
      </c>
      <c r="P15" s="24">
        <f t="shared" si="4"/>
        <v>0.18035308776875369</v>
      </c>
      <c r="Q15" s="111">
        <f t="shared" si="5"/>
        <v>0.26750445923561278</v>
      </c>
      <c r="R15" s="119" t="s">
        <v>122</v>
      </c>
      <c r="S15" s="121">
        <f t="shared" ref="S15:Y15" si="12">C29-C50</f>
        <v>6979088471</v>
      </c>
      <c r="T15" s="121">
        <f t="shared" si="12"/>
        <v>8234293047</v>
      </c>
      <c r="U15" s="121">
        <f t="shared" si="12"/>
        <v>7715383333</v>
      </c>
      <c r="V15" s="121">
        <f t="shared" si="12"/>
        <v>10850549479</v>
      </c>
      <c r="W15" s="121">
        <f t="shared" si="12"/>
        <v>24479976760</v>
      </c>
      <c r="X15" s="121">
        <f t="shared" si="12"/>
        <v>32910435450.199997</v>
      </c>
      <c r="Y15" s="137">
        <f t="shared" si="12"/>
        <v>59037822971.019997</v>
      </c>
    </row>
    <row r="16" spans="2:32" x14ac:dyDescent="0.2">
      <c r="B16" s="94" t="s">
        <v>225</v>
      </c>
      <c r="C16" s="25">
        <f t="shared" ref="C16:I16" si="13">C14-C15</f>
        <v>-15285879</v>
      </c>
      <c r="D16" s="25">
        <f t="shared" si="13"/>
        <v>5635049074</v>
      </c>
      <c r="E16" s="25">
        <f t="shared" si="13"/>
        <v>24851951723</v>
      </c>
      <c r="F16" s="25">
        <f t="shared" si="13"/>
        <v>2630087242</v>
      </c>
      <c r="G16" s="25">
        <f t="shared" si="13"/>
        <v>13423165650</v>
      </c>
      <c r="H16" s="25">
        <f t="shared" si="13"/>
        <v>13041177732.419998</v>
      </c>
      <c r="I16" s="95">
        <f t="shared" si="13"/>
        <v>19217649753.82</v>
      </c>
      <c r="J16" s="24">
        <f>C16/$C$11</f>
        <v>-1.3244270211984473E-3</v>
      </c>
      <c r="K16" s="24">
        <f>D16/$D$11</f>
        <v>0.45495465198544227</v>
      </c>
      <c r="L16" s="24">
        <f>E16/$E$11</f>
        <v>1.5590656989438243</v>
      </c>
      <c r="M16" s="24">
        <f>F16/$F$11</f>
        <v>0.14726164276037065</v>
      </c>
      <c r="N16" s="24">
        <f t="shared" si="7"/>
        <v>0.35524779247304422</v>
      </c>
      <c r="O16" s="24">
        <f t="shared" si="8"/>
        <v>0.25425041521122355</v>
      </c>
      <c r="P16" s="24">
        <f t="shared" si="4"/>
        <v>0.37631925301693692</v>
      </c>
      <c r="Q16" s="111">
        <f t="shared" si="5"/>
        <v>1.5261938078813848</v>
      </c>
      <c r="R16" s="259" t="s">
        <v>124</v>
      </c>
      <c r="S16" s="260"/>
      <c r="T16" s="260"/>
      <c r="U16" s="260"/>
      <c r="V16" s="260"/>
      <c r="W16" s="260"/>
      <c r="X16" s="143"/>
      <c r="Y16" s="135"/>
    </row>
    <row r="17" spans="2:25" x14ac:dyDescent="0.2">
      <c r="B17" s="93" t="s">
        <v>105</v>
      </c>
      <c r="C17" s="26">
        <f>+'RESULTADOS DESAGR'!O53</f>
        <v>0</v>
      </c>
      <c r="D17" s="26">
        <f>+'RESULTADOS DESAGR'!M53</f>
        <v>0</v>
      </c>
      <c r="E17" s="26">
        <f>+'RESULTADOS DESAGR'!K53</f>
        <v>0</v>
      </c>
      <c r="F17" s="26">
        <f>+'RESULTADOS DESAGR'!I53</f>
        <v>0</v>
      </c>
      <c r="G17" s="26">
        <f>+'RESULTADOS DESAGR'!G53</f>
        <v>0</v>
      </c>
      <c r="H17" s="26">
        <f>+'RESULTADOS DESAGR'!E53</f>
        <v>0</v>
      </c>
      <c r="I17" s="102">
        <f>+'RESULTADOS DESAGR'!C53</f>
        <v>0</v>
      </c>
      <c r="J17" s="24">
        <f>C17/$C$11</f>
        <v>0</v>
      </c>
      <c r="K17" s="24">
        <f>D17/$D$11</f>
        <v>0</v>
      </c>
      <c r="L17" s="24">
        <f>E17/$E$11</f>
        <v>0</v>
      </c>
      <c r="M17" s="24">
        <f>F17/$F$11</f>
        <v>0</v>
      </c>
      <c r="N17" s="24">
        <f t="shared" si="7"/>
        <v>0</v>
      </c>
      <c r="O17" s="24">
        <f t="shared" si="8"/>
        <v>0</v>
      </c>
      <c r="P17" s="24">
        <f t="shared" si="4"/>
        <v>0</v>
      </c>
      <c r="Q17" s="111" t="e">
        <f t="shared" si="5"/>
        <v>#DIV/0!</v>
      </c>
      <c r="R17" s="119" t="s">
        <v>126</v>
      </c>
      <c r="S17" s="122">
        <f t="shared" ref="S17:X17" si="14">((C25+C38)*$BG$472)/C11</f>
        <v>318.49436133564154</v>
      </c>
      <c r="T17" s="122">
        <f t="shared" si="14"/>
        <v>376.62343549205298</v>
      </c>
      <c r="U17" s="122">
        <f t="shared" si="14"/>
        <v>277.02699133688236</v>
      </c>
      <c r="V17" s="122">
        <f t="shared" si="14"/>
        <v>292.40041702041071</v>
      </c>
      <c r="W17" s="122">
        <f t="shared" si="14"/>
        <v>254.62286429565333</v>
      </c>
      <c r="X17" s="122">
        <f t="shared" si="14"/>
        <v>252.95171178026067</v>
      </c>
      <c r="Y17" s="138">
        <f>((I25+I38)*$BG$473)/I11</f>
        <v>244.25339335693783</v>
      </c>
    </row>
    <row r="18" spans="2:25" x14ac:dyDescent="0.2">
      <c r="B18" s="93" t="s">
        <v>123</v>
      </c>
      <c r="C18" s="26">
        <f>+'RESULTADOS DESAGR'!O56</f>
        <v>861641126</v>
      </c>
      <c r="D18" s="26">
        <f>+'RESULTADOS DESAGR'!M56</f>
        <v>535951096</v>
      </c>
      <c r="E18" s="26">
        <f>+'RESULTADOS DESAGR'!K56</f>
        <v>1265965708</v>
      </c>
      <c r="F18" s="26">
        <f>'RESULTADOS DESAGR'!I56</f>
        <v>328609494</v>
      </c>
      <c r="G18" s="26">
        <f>'RESULTADOS DESAGR'!G56</f>
        <v>103688472</v>
      </c>
      <c r="H18" s="26">
        <f>'RESULTADOS DESAGR'!E56</f>
        <v>1774271324</v>
      </c>
      <c r="I18" s="102">
        <f>'RESULTADOS DESAGR'!C56</f>
        <v>2560367</v>
      </c>
      <c r="J18" s="24">
        <f>C18/$C$11</f>
        <v>7.4655882717000174E-2</v>
      </c>
      <c r="K18" s="24">
        <f>D18/$D$11</f>
        <v>4.3270864398845942E-2</v>
      </c>
      <c r="L18" s="24">
        <f>E18/$E$11</f>
        <v>7.941926386229417E-2</v>
      </c>
      <c r="M18" s="24">
        <f>F18/$F$11</f>
        <v>1.839922765310846E-2</v>
      </c>
      <c r="N18" s="24">
        <f t="shared" si="7"/>
        <v>2.7441440971044755E-3</v>
      </c>
      <c r="O18" s="24">
        <f t="shared" si="8"/>
        <v>3.459114123588107E-2</v>
      </c>
      <c r="P18" s="24">
        <f t="shared" si="4"/>
        <v>5.0137004744697898E-5</v>
      </c>
      <c r="Q18" s="111">
        <f t="shared" si="5"/>
        <v>-0.99752619539522669</v>
      </c>
      <c r="R18" s="119" t="s">
        <v>127</v>
      </c>
      <c r="S18" s="122">
        <f t="shared" ref="S18:X18" si="15">(+SUM(C26:C27)*$BG$472)/C13</f>
        <v>5.9776107755494508</v>
      </c>
      <c r="T18" s="122">
        <f t="shared" si="15"/>
        <v>9.3642019788218125</v>
      </c>
      <c r="U18" s="122">
        <f t="shared" si="15"/>
        <v>8.5864433972956729</v>
      </c>
      <c r="V18" s="122">
        <f t="shared" si="15"/>
        <v>13.911096468271172</v>
      </c>
      <c r="W18" s="122">
        <f t="shared" si="15"/>
        <v>19.312602994264747</v>
      </c>
      <c r="X18" s="122">
        <f t="shared" si="15"/>
        <v>21.920549817571356</v>
      </c>
      <c r="Y18" s="138">
        <f>(+SUM(I26:I27)*$BG$473)/I13</f>
        <v>28.463385741089429</v>
      </c>
    </row>
    <row r="19" spans="2:25" x14ac:dyDescent="0.2">
      <c r="B19" s="96" t="s">
        <v>125</v>
      </c>
      <c r="C19" s="26">
        <f>+'RESULTADOS DESAGR'!O47</f>
        <v>79137430</v>
      </c>
      <c r="D19" s="26">
        <f>+'RESULTADOS DESAGR'!M47</f>
        <v>274042126</v>
      </c>
      <c r="E19" s="26">
        <f>+'RESULTADOS DESAGR'!K47</f>
        <v>55849242</v>
      </c>
      <c r="F19" s="26">
        <f>'RESULTADOS DESAGR'!I47</f>
        <v>194251618</v>
      </c>
      <c r="G19" s="26">
        <f>+'RESULTADOS DESAGR'!G47</f>
        <v>2205326</v>
      </c>
      <c r="H19" s="26">
        <f>+'RESULTADOS DESAGR'!E47</f>
        <v>347893655.57999998</v>
      </c>
      <c r="I19" s="102">
        <f>+'RESULTADOS DESAGR'!C47</f>
        <v>3008785</v>
      </c>
      <c r="J19" s="24">
        <f t="shared" ref="J19:O19" si="16">C19/C11</f>
        <v>6.8567696159442734E-3</v>
      </c>
      <c r="K19" s="24">
        <f t="shared" si="16"/>
        <v>2.2125227025783435E-2</v>
      </c>
      <c r="L19" s="24">
        <f t="shared" si="16"/>
        <v>3.5036538974775469E-3</v>
      </c>
      <c r="M19" s="24">
        <f t="shared" si="16"/>
        <v>1.0876373953963306E-2</v>
      </c>
      <c r="N19" s="24">
        <f t="shared" si="16"/>
        <v>5.8364562697876615E-5</v>
      </c>
      <c r="O19" s="24">
        <f t="shared" si="16"/>
        <v>6.7825244157723556E-3</v>
      </c>
      <c r="P19" s="24">
        <f t="shared" si="4"/>
        <v>5.8917908182997154E-5</v>
      </c>
      <c r="Q19" s="111">
        <f t="shared" si="5"/>
        <v>-0.98517386833554643</v>
      </c>
      <c r="R19" s="119" t="s">
        <v>128</v>
      </c>
      <c r="S19" s="122">
        <f t="shared" ref="S19:X19" si="17">C47*$BG$472/C13</f>
        <v>18.225639721423704</v>
      </c>
      <c r="T19" s="122">
        <f t="shared" si="17"/>
        <v>175.93340933055325</v>
      </c>
      <c r="U19" s="122">
        <f t="shared" si="17"/>
        <v>31.327869002551846</v>
      </c>
      <c r="V19" s="122">
        <f t="shared" si="17"/>
        <v>20.702677091604055</v>
      </c>
      <c r="W19" s="174">
        <f t="shared" si="17"/>
        <v>17.11120921631985</v>
      </c>
      <c r="X19" s="174">
        <f t="shared" si="17"/>
        <v>26.536648322114434</v>
      </c>
      <c r="Y19" s="138">
        <f>I47*$BG$473/I13</f>
        <v>16.868824223144308</v>
      </c>
    </row>
    <row r="20" spans="2:25" s="129" customFormat="1" x14ac:dyDescent="0.2">
      <c r="B20" s="97" t="s">
        <v>167</v>
      </c>
      <c r="C20" s="25">
        <f t="shared" ref="C20:I20" si="18">C16-C17-C18+C19</f>
        <v>-797789575</v>
      </c>
      <c r="D20" s="25">
        <f t="shared" si="18"/>
        <v>5373140104</v>
      </c>
      <c r="E20" s="25">
        <f t="shared" si="18"/>
        <v>23641835257</v>
      </c>
      <c r="F20" s="25">
        <f t="shared" si="18"/>
        <v>2495729366</v>
      </c>
      <c r="G20" s="25">
        <f t="shared" si="18"/>
        <v>13321682504</v>
      </c>
      <c r="H20" s="25">
        <f t="shared" si="18"/>
        <v>11614800063.999998</v>
      </c>
      <c r="I20" s="95">
        <f t="shared" si="18"/>
        <v>19218098171.82</v>
      </c>
      <c r="J20" s="106">
        <f>C20/$C$11</f>
        <v>-6.9123540122254357E-2</v>
      </c>
      <c r="K20" s="106">
        <f>D20/$D$11</f>
        <v>0.43380901461237981</v>
      </c>
      <c r="L20" s="106">
        <f>E20/$E$11</f>
        <v>1.4831500889790077</v>
      </c>
      <c r="M20" s="106">
        <f>F20/$F$11</f>
        <v>0.1397387890612255</v>
      </c>
      <c r="N20" s="106">
        <f>G20/$G$11</f>
        <v>0.35256201293863765</v>
      </c>
      <c r="O20" s="106">
        <f>H20/$H$11</f>
        <v>0.22644179839111483</v>
      </c>
      <c r="P20" s="106">
        <f t="shared" si="4"/>
        <v>0.37632803392037523</v>
      </c>
      <c r="Q20" s="173">
        <f t="shared" si="5"/>
        <v>1.8364940395147411</v>
      </c>
      <c r="R20" s="259" t="s">
        <v>129</v>
      </c>
      <c r="S20" s="260"/>
      <c r="T20" s="260"/>
      <c r="U20" s="260"/>
      <c r="V20" s="260"/>
      <c r="W20" s="260"/>
      <c r="X20" s="144"/>
      <c r="Y20" s="139"/>
    </row>
    <row r="21" spans="2:25" ht="13.5" thickBot="1" x14ac:dyDescent="0.25">
      <c r="B21" s="98"/>
      <c r="C21" s="130"/>
      <c r="D21" s="130"/>
      <c r="E21" s="130"/>
      <c r="F21" s="130"/>
      <c r="G21" s="130"/>
      <c r="H21" s="130"/>
      <c r="I21" s="131"/>
      <c r="J21" s="130"/>
      <c r="K21" s="130"/>
      <c r="L21" s="130"/>
      <c r="M21" s="107"/>
      <c r="N21" s="107"/>
      <c r="O21" s="107"/>
      <c r="P21" s="107"/>
      <c r="Q21" s="112"/>
      <c r="R21" s="119" t="s">
        <v>131</v>
      </c>
      <c r="S21" s="120">
        <f t="shared" ref="S21:Y21" si="19">C20/C45*100</f>
        <v>-4.1111722735251419</v>
      </c>
      <c r="T21" s="120">
        <f t="shared" si="19"/>
        <v>18.985171461763514</v>
      </c>
      <c r="U21" s="120">
        <f t="shared" si="19"/>
        <v>45.503844082047749</v>
      </c>
      <c r="V21" s="120">
        <f t="shared" si="19"/>
        <v>4.6474357532262909</v>
      </c>
      <c r="W21" s="120">
        <f t="shared" si="19"/>
        <v>20.018187638824632</v>
      </c>
      <c r="X21" s="120">
        <f t="shared" si="19"/>
        <v>14.655456463779624</v>
      </c>
      <c r="Y21" s="136">
        <f t="shared" si="19"/>
        <v>18.000666196659047</v>
      </c>
    </row>
    <row r="22" spans="2:25" x14ac:dyDescent="0.2">
      <c r="B22" s="152" t="s">
        <v>5</v>
      </c>
      <c r="C22" s="153"/>
      <c r="D22" s="153"/>
      <c r="E22" s="153"/>
      <c r="F22" s="153"/>
      <c r="G22" s="153"/>
      <c r="H22" s="153"/>
      <c r="I22" s="145"/>
      <c r="J22" s="253" t="str">
        <f>J8</f>
        <v>VERTICAL</v>
      </c>
      <c r="K22" s="253"/>
      <c r="L22" s="253"/>
      <c r="M22" s="253"/>
      <c r="N22" s="253"/>
      <c r="O22" s="258"/>
      <c r="P22" s="142"/>
      <c r="Q22" s="113" t="str">
        <f>Q8</f>
        <v>HORIZONTAL</v>
      </c>
      <c r="R22" s="119" t="s">
        <v>133</v>
      </c>
      <c r="S22" s="120">
        <f t="shared" ref="S22:Y22" si="20">C20/C63*100</f>
        <v>-5.2355107819159397</v>
      </c>
      <c r="T22" s="120">
        <f t="shared" si="20"/>
        <v>25.948305159503114</v>
      </c>
      <c r="U22" s="120">
        <f t="shared" si="20"/>
        <v>50.787882032975908</v>
      </c>
      <c r="V22" s="120">
        <f t="shared" si="20"/>
        <v>5.1072523220176222</v>
      </c>
      <c r="W22" s="120">
        <f t="shared" si="20"/>
        <v>21.246928331733926</v>
      </c>
      <c r="X22" s="120">
        <f t="shared" si="20"/>
        <v>15.679670216697824</v>
      </c>
      <c r="Y22" s="136">
        <f t="shared" si="20"/>
        <v>19.289387656338803</v>
      </c>
    </row>
    <row r="23" spans="2:25" x14ac:dyDescent="0.2">
      <c r="B23" s="94" t="s">
        <v>130</v>
      </c>
      <c r="C23" s="90">
        <f t="shared" ref="C23:L23" si="21">C9</f>
        <v>43100</v>
      </c>
      <c r="D23" s="90">
        <f t="shared" si="21"/>
        <v>43465</v>
      </c>
      <c r="E23" s="90">
        <f t="shared" si="21"/>
        <v>43830</v>
      </c>
      <c r="F23" s="90">
        <f t="shared" si="21"/>
        <v>44196</v>
      </c>
      <c r="G23" s="90">
        <f t="shared" si="21"/>
        <v>44561</v>
      </c>
      <c r="H23" s="90">
        <f>+H9</f>
        <v>44926</v>
      </c>
      <c r="I23" s="99">
        <f>+I9</f>
        <v>45138</v>
      </c>
      <c r="J23" s="149">
        <f t="shared" si="21"/>
        <v>43100</v>
      </c>
      <c r="K23" s="88">
        <f t="shared" si="21"/>
        <v>43465</v>
      </c>
      <c r="L23" s="88">
        <f t="shared" si="21"/>
        <v>43830</v>
      </c>
      <c r="M23" s="88">
        <f>M9</f>
        <v>44196</v>
      </c>
      <c r="N23" s="88">
        <f>N9</f>
        <v>44561</v>
      </c>
      <c r="O23" s="88">
        <f>O9</f>
        <v>44926</v>
      </c>
      <c r="P23" s="88">
        <f>P9</f>
        <v>45138</v>
      </c>
      <c r="Q23" s="128" t="str">
        <f>Q9</f>
        <v>2023-2022</v>
      </c>
      <c r="R23" s="119" t="s">
        <v>135</v>
      </c>
      <c r="S23" s="120">
        <f t="shared" ref="S23:Y23" si="22">C20/C57*100</f>
        <v>-4.9978977513647358</v>
      </c>
      <c r="T23" s="120">
        <f t="shared" si="22"/>
        <v>35.209186042897279</v>
      </c>
      <c r="U23" s="120">
        <f t="shared" si="22"/>
        <v>154.92054177771374</v>
      </c>
      <c r="V23" s="120">
        <f t="shared" si="22"/>
        <v>5.3821313502680876</v>
      </c>
      <c r="W23" s="120">
        <f t="shared" si="22"/>
        <v>26.979171991557539</v>
      </c>
      <c r="X23" s="120">
        <f t="shared" si="22"/>
        <v>18.595361589540232</v>
      </c>
      <c r="Y23" s="136">
        <f t="shared" si="22"/>
        <v>23.8994440708809</v>
      </c>
    </row>
    <row r="24" spans="2:25" x14ac:dyDescent="0.2">
      <c r="B24" s="93" t="s">
        <v>132</v>
      </c>
      <c r="C24" s="26">
        <f>+'BALANCES COMP'!O14</f>
        <v>832274306</v>
      </c>
      <c r="D24" s="26">
        <f>+'BALANCES COMP'!M14</f>
        <v>3877506311</v>
      </c>
      <c r="E24" s="26">
        <f>+'BALANCES COMP'!K14</f>
        <v>628405009</v>
      </c>
      <c r="F24" s="26">
        <f>+'BALANCES COMP'!I14</f>
        <v>734259744</v>
      </c>
      <c r="G24" s="26">
        <f>+'BALANCES COMP'!G14</f>
        <v>548160771</v>
      </c>
      <c r="H24" s="26">
        <f>+'BALANCES COMP'!E14</f>
        <v>445923180.19999999</v>
      </c>
      <c r="I24" s="102">
        <f>+'BALANCES COMP'!C14</f>
        <v>3862426510.3600001</v>
      </c>
      <c r="J24" s="24">
        <f t="shared" ref="J24:J43" si="23">C24/$C$45</f>
        <v>4.2888791205307232E-2</v>
      </c>
      <c r="K24" s="24">
        <f t="shared" ref="K24:K45" si="24">D24/$D$45</f>
        <v>0.13700577452578022</v>
      </c>
      <c r="L24" s="24">
        <f t="shared" ref="L24:L45" si="25">E24/$E$45</f>
        <v>1.2095018529260456E-2</v>
      </c>
      <c r="M24" s="24">
        <f t="shared" ref="M24:M45" si="26">F24/$F$45</f>
        <v>1.3673056994515421E-2</v>
      </c>
      <c r="N24" s="24">
        <f t="shared" ref="N24:N45" si="27">G24/$G$45</f>
        <v>8.237086544305456E-3</v>
      </c>
      <c r="O24" s="24">
        <f>H24/$H$45</f>
        <v>5.6266209642877041E-3</v>
      </c>
      <c r="P24" s="24">
        <f>I24/$I$45</f>
        <v>3.6177487335383264E-2</v>
      </c>
      <c r="Q24" s="141">
        <f>+(I24-H24)/H24</f>
        <v>7.661641022177121</v>
      </c>
      <c r="R24" s="259" t="s">
        <v>137</v>
      </c>
      <c r="S24" s="260"/>
      <c r="T24" s="260"/>
      <c r="U24" s="260"/>
      <c r="V24" s="260"/>
      <c r="W24" s="260"/>
      <c r="X24" s="143"/>
      <c r="Y24" s="135"/>
    </row>
    <row r="25" spans="2:25" x14ac:dyDescent="0.2">
      <c r="B25" s="93" t="s">
        <v>134</v>
      </c>
      <c r="C25" s="26">
        <f>+'BALANCES COMP'!O17</f>
        <v>10191201812</v>
      </c>
      <c r="D25" s="26">
        <f>+'BALANCES COMP'!M17</f>
        <v>11744065085</v>
      </c>
      <c r="E25" s="26">
        <f>+'BALANCES COMP'!K17</f>
        <v>12266358947</v>
      </c>
      <c r="F25" s="26">
        <f>+'BALANCES COMP'!I17</f>
        <v>14506278152</v>
      </c>
      <c r="G25" s="26">
        <f>+'BALANCES COMP'!G17</f>
        <v>26725045933</v>
      </c>
      <c r="H25" s="26">
        <f>+'BALANCES COMP'!E17</f>
        <v>36040454975</v>
      </c>
      <c r="I25" s="102">
        <f>+'BALANCES COMP'!C17</f>
        <v>59239666662.599998</v>
      </c>
      <c r="J25" s="24">
        <f t="shared" si="23"/>
        <v>0.52517339955706477</v>
      </c>
      <c r="K25" s="24">
        <f t="shared" si="24"/>
        <v>0.41495863681434969</v>
      </c>
      <c r="L25" s="24">
        <f t="shared" si="25"/>
        <v>0.23609270554131559</v>
      </c>
      <c r="M25" s="24">
        <f t="shared" si="26"/>
        <v>0.27012943249492627</v>
      </c>
      <c r="N25" s="24">
        <f t="shared" si="27"/>
        <v>0.40159115335646578</v>
      </c>
      <c r="O25" s="24">
        <f t="shared" ref="O25:O45" si="28">H25/$H$45</f>
        <v>0.45475541198340708</v>
      </c>
      <c r="P25" s="24">
        <f t="shared" ref="P25:P63" si="29">I25/$I$45</f>
        <v>0.55486940261260387</v>
      </c>
      <c r="Q25" s="141">
        <f t="shared" ref="Q25:Q64" si="30">+(I25-H25)/H25</f>
        <v>0.64369919035962442</v>
      </c>
      <c r="R25" s="119" t="s">
        <v>207</v>
      </c>
      <c r="S25" s="120">
        <f t="shared" ref="S25:Y25" si="31">(C55/C45)*100</f>
        <v>21.475240052496751</v>
      </c>
      <c r="T25" s="120">
        <f t="shared" si="31"/>
        <v>26.834637772823772</v>
      </c>
      <c r="U25" s="120">
        <f t="shared" si="31"/>
        <v>10.404131338844376</v>
      </c>
      <c r="V25" s="120">
        <f t="shared" si="31"/>
        <v>9.0032083750598861</v>
      </c>
      <c r="W25" s="120">
        <f t="shared" si="31"/>
        <v>5.7831450914910594</v>
      </c>
      <c r="X25" s="120">
        <f t="shared" si="31"/>
        <v>6.5321128490794491</v>
      </c>
      <c r="Y25" s="136">
        <f t="shared" si="31"/>
        <v>6.6809868860883013</v>
      </c>
    </row>
    <row r="26" spans="2:25" x14ac:dyDescent="0.2">
      <c r="B26" s="96" t="s">
        <v>136</v>
      </c>
      <c r="C26" s="26">
        <f>+'BALANCES COMP'!O26-'BALANCES COMP'!O27</f>
        <v>122969373</v>
      </c>
      <c r="D26" s="26">
        <f>+'BALANCES COMP'!M26-'BALANCES COMP'!M27</f>
        <v>207399881</v>
      </c>
      <c r="E26" s="26">
        <f>+'BALANCES COMP'!K26-'BALANCES COMP'!K27</f>
        <v>226157394</v>
      </c>
      <c r="F26" s="26">
        <f>+'BALANCES COMP'!I26-'BALANCES COMP'!I27</f>
        <v>444843676</v>
      </c>
      <c r="G26" s="26">
        <f>+'BALANCES COMP'!G26-'BALANCES COMP'!G27</f>
        <v>1055331383</v>
      </c>
      <c r="H26" s="26">
        <f>+'BALANCES COMP'!E26-'BALANCES COMP'!E27</f>
        <v>1600913091</v>
      </c>
      <c r="I26" s="102">
        <f>+'BALANCES COMP'!C26-'BALANCES COMP'!C27</f>
        <v>3068569241.8200002</v>
      </c>
      <c r="J26" s="24">
        <f t="shared" si="23"/>
        <v>6.3368624084912516E-3</v>
      </c>
      <c r="K26" s="24">
        <f t="shared" si="24"/>
        <v>7.328158629258682E-3</v>
      </c>
      <c r="L26" s="24">
        <f t="shared" si="25"/>
        <v>4.3528899862083333E-3</v>
      </c>
      <c r="M26" s="24">
        <f t="shared" si="26"/>
        <v>8.2836802443547169E-3</v>
      </c>
      <c r="N26" s="24">
        <f t="shared" si="27"/>
        <v>1.5858223343553652E-2</v>
      </c>
      <c r="O26" s="24">
        <f t="shared" si="28"/>
        <v>2.0200185950824963E-2</v>
      </c>
      <c r="P26" s="24">
        <f t="shared" si="29"/>
        <v>2.8741808960228637E-2</v>
      </c>
      <c r="Q26" s="141">
        <f t="shared" si="30"/>
        <v>0.9167619148540026</v>
      </c>
      <c r="R26" s="119" t="s">
        <v>208</v>
      </c>
      <c r="S26" s="120">
        <f t="shared" ref="S26:Y26" si="32">C55/(C45-C43)*100</f>
        <v>21.475240052496751</v>
      </c>
      <c r="T26" s="120">
        <f t="shared" si="32"/>
        <v>26.834637772823772</v>
      </c>
      <c r="U26" s="120">
        <f t="shared" si="32"/>
        <v>10.404131338844376</v>
      </c>
      <c r="V26" s="120">
        <f t="shared" si="32"/>
        <v>9.0032083750598861</v>
      </c>
      <c r="W26" s="120">
        <f t="shared" si="32"/>
        <v>5.7831450914910594</v>
      </c>
      <c r="X26" s="120">
        <f t="shared" si="32"/>
        <v>6.5321128490794491</v>
      </c>
      <c r="Y26" s="136">
        <f t="shared" si="32"/>
        <v>6.6809868860883013</v>
      </c>
    </row>
    <row r="27" spans="2:25" ht="13.5" thickBot="1" x14ac:dyDescent="0.25">
      <c r="B27" s="96" t="s">
        <v>138</v>
      </c>
      <c r="C27" s="26">
        <f>+'BALANCES COMP'!O28</f>
        <v>0</v>
      </c>
      <c r="D27" s="26">
        <f>+'BALANCES COMP'!M28</f>
        <v>0</v>
      </c>
      <c r="E27" s="26">
        <f>+'BALANCES COMP'!K28</f>
        <v>0</v>
      </c>
      <c r="F27" s="26">
        <f>+'BALANCES COMP'!I28</f>
        <v>0</v>
      </c>
      <c r="G27" s="26">
        <f>+'BALANCES COMP'!G28</f>
        <v>0</v>
      </c>
      <c r="H27" s="26">
        <f>+'BALANCES COMP'!E28</f>
        <v>0</v>
      </c>
      <c r="I27" s="102">
        <f>+'BALANCES COMP'!C28</f>
        <v>0</v>
      </c>
      <c r="J27" s="24">
        <f t="shared" si="23"/>
        <v>0</v>
      </c>
      <c r="K27" s="24">
        <f t="shared" si="24"/>
        <v>0</v>
      </c>
      <c r="L27" s="24">
        <f t="shared" si="25"/>
        <v>0</v>
      </c>
      <c r="M27" s="24">
        <f t="shared" si="26"/>
        <v>0</v>
      </c>
      <c r="N27" s="24">
        <f t="shared" si="27"/>
        <v>0</v>
      </c>
      <c r="O27" s="24">
        <f t="shared" si="28"/>
        <v>0</v>
      </c>
      <c r="P27" s="24">
        <f t="shared" si="29"/>
        <v>0</v>
      </c>
      <c r="Q27" s="141" t="e">
        <f t="shared" si="30"/>
        <v>#DIV/0!</v>
      </c>
      <c r="R27" s="123" t="s">
        <v>141</v>
      </c>
      <c r="S27" s="124">
        <f t="shared" ref="S27:Y27" si="33">(C55/C63)*100</f>
        <v>27.348367657352608</v>
      </c>
      <c r="T27" s="124">
        <f t="shared" si="33"/>
        <v>36.676696398362708</v>
      </c>
      <c r="U27" s="124">
        <f t="shared" si="33"/>
        <v>11.612289153858159</v>
      </c>
      <c r="V27" s="124">
        <f t="shared" si="33"/>
        <v>9.8939844078989641</v>
      </c>
      <c r="W27" s="124">
        <f t="shared" si="33"/>
        <v>6.1381215676397733</v>
      </c>
      <c r="X27" s="124">
        <f t="shared" si="33"/>
        <v>6.9886172119545078</v>
      </c>
      <c r="Y27" s="140">
        <f t="shared" si="33"/>
        <v>7.1592986928779299</v>
      </c>
    </row>
    <row r="28" spans="2:25" ht="13.5" thickBot="1" x14ac:dyDescent="0.25">
      <c r="B28" s="93" t="s">
        <v>139</v>
      </c>
      <c r="C28" s="26">
        <f>+'BALANCES COMP'!O29</f>
        <v>0</v>
      </c>
      <c r="D28" s="26">
        <f>+'BALANCES COMP'!M29</f>
        <v>0</v>
      </c>
      <c r="E28" s="26">
        <f>+'BALANCES COMP'!K29</f>
        <v>0</v>
      </c>
      <c r="F28" s="26">
        <f>+'BALANCES COMP'!I29</f>
        <v>0</v>
      </c>
      <c r="G28" s="26">
        <f>+'BALANCES COMP'!G29</f>
        <v>0</v>
      </c>
      <c r="H28" s="26">
        <f>+'BALANCES COMP'!E29</f>
        <v>0</v>
      </c>
      <c r="I28" s="102">
        <f>+'BALANCES COMP'!C29</f>
        <v>0</v>
      </c>
      <c r="J28" s="24">
        <f t="shared" si="23"/>
        <v>0</v>
      </c>
      <c r="K28" s="24">
        <f t="shared" si="24"/>
        <v>0</v>
      </c>
      <c r="L28" s="24">
        <f t="shared" si="25"/>
        <v>0</v>
      </c>
      <c r="M28" s="24">
        <f t="shared" si="26"/>
        <v>0</v>
      </c>
      <c r="N28" s="24">
        <f t="shared" si="27"/>
        <v>0</v>
      </c>
      <c r="O28" s="24">
        <f t="shared" si="28"/>
        <v>0</v>
      </c>
      <c r="P28" s="24">
        <f t="shared" si="29"/>
        <v>0</v>
      </c>
      <c r="Q28" s="141" t="e">
        <f t="shared" si="30"/>
        <v>#DIV/0!</v>
      </c>
      <c r="R28" s="249" t="s">
        <v>206</v>
      </c>
      <c r="S28" s="250"/>
      <c r="T28" s="250"/>
      <c r="U28" s="250"/>
      <c r="V28" s="250"/>
      <c r="W28" s="250"/>
      <c r="X28" s="251"/>
    </row>
    <row r="29" spans="2:25" ht="13.5" thickBot="1" x14ac:dyDescent="0.25">
      <c r="B29" s="94" t="s">
        <v>140</v>
      </c>
      <c r="C29" s="25">
        <f t="shared" ref="C29:H29" si="34">SUM(C24:C28)</f>
        <v>11146445491</v>
      </c>
      <c r="D29" s="25">
        <f t="shared" si="34"/>
        <v>15828971277</v>
      </c>
      <c r="E29" s="25">
        <f t="shared" si="34"/>
        <v>13120921350</v>
      </c>
      <c r="F29" s="25">
        <f t="shared" si="34"/>
        <v>15685381572</v>
      </c>
      <c r="G29" s="25">
        <f t="shared" si="34"/>
        <v>28328538087</v>
      </c>
      <c r="H29" s="25">
        <f t="shared" si="34"/>
        <v>38087291246.199997</v>
      </c>
      <c r="I29" s="95">
        <f>SUM(I24:I28)</f>
        <v>66170662414.779999</v>
      </c>
      <c r="J29" s="106">
        <f t="shared" si="23"/>
        <v>0.57439905317086326</v>
      </c>
      <c r="K29" s="106">
        <f t="shared" si="24"/>
        <v>0.55929256996938859</v>
      </c>
      <c r="L29" s="106">
        <f t="shared" si="25"/>
        <v>0.25254061405678435</v>
      </c>
      <c r="M29" s="106">
        <f t="shared" si="26"/>
        <v>0.29208616973379636</v>
      </c>
      <c r="N29" s="106">
        <f t="shared" si="27"/>
        <v>0.42568646324432491</v>
      </c>
      <c r="O29" s="106">
        <f t="shared" si="28"/>
        <v>0.48058221889851971</v>
      </c>
      <c r="P29" s="106">
        <f t="shared" si="29"/>
        <v>0.61978869890821575</v>
      </c>
      <c r="Q29" s="141">
        <f t="shared" si="30"/>
        <v>0.7373423063101634</v>
      </c>
      <c r="R29" s="246"/>
      <c r="S29" s="247" t="s">
        <v>376</v>
      </c>
      <c r="T29" s="247" t="s">
        <v>377</v>
      </c>
      <c r="U29" s="247" t="s">
        <v>382</v>
      </c>
      <c r="V29" s="247" t="s">
        <v>385</v>
      </c>
      <c r="W29" s="247" t="s">
        <v>399</v>
      </c>
      <c r="X29" s="248" t="s">
        <v>402</v>
      </c>
    </row>
    <row r="30" spans="2:25" x14ac:dyDescent="0.2">
      <c r="B30" s="93" t="s">
        <v>142</v>
      </c>
      <c r="C30" s="26">
        <f>+'BALANCES COMP'!O45</f>
        <v>779074870</v>
      </c>
      <c r="D30" s="26">
        <f>+'BALANCES COMP'!M45</f>
        <v>1615907378</v>
      </c>
      <c r="E30" s="26">
        <f>+'BALANCES COMP'!K45</f>
        <v>6050427787</v>
      </c>
      <c r="F30" s="26">
        <f>+'BALANCES COMP'!I45</f>
        <v>6050427787</v>
      </c>
      <c r="G30" s="26">
        <f>+'BALANCES COMP'!G45</f>
        <v>6050427787</v>
      </c>
      <c r="H30" s="26">
        <f>+'BALANCES COMP'!E45</f>
        <v>6050427787</v>
      </c>
      <c r="I30" s="102">
        <f>+'BALANCES COMP'!C45</f>
        <v>6050427787</v>
      </c>
      <c r="J30" s="24">
        <f t="shared" si="23"/>
        <v>4.014731584508615E-2</v>
      </c>
      <c r="K30" s="24">
        <f t="shared" si="24"/>
        <v>5.7095623869588767E-2</v>
      </c>
      <c r="L30" s="24">
        <f t="shared" si="25"/>
        <v>0.11645361692799194</v>
      </c>
      <c r="M30" s="24">
        <f t="shared" si="26"/>
        <v>0.11266836381656627</v>
      </c>
      <c r="N30" s="24">
        <f t="shared" si="27"/>
        <v>9.0918394653946397E-2</v>
      </c>
      <c r="O30" s="24">
        <f t="shared" si="28"/>
        <v>7.6343785972225756E-2</v>
      </c>
      <c r="P30" s="24">
        <f t="shared" si="29"/>
        <v>5.6671440621776842E-2</v>
      </c>
      <c r="Q30" s="141">
        <f t="shared" si="30"/>
        <v>0</v>
      </c>
      <c r="R30" s="114" t="s">
        <v>192</v>
      </c>
      <c r="S30" s="27">
        <f t="shared" ref="S30:X30" si="35">+D20</f>
        <v>5373140104</v>
      </c>
      <c r="T30" s="27">
        <f t="shared" si="35"/>
        <v>23641835257</v>
      </c>
      <c r="U30" s="27">
        <f t="shared" si="35"/>
        <v>2495729366</v>
      </c>
      <c r="V30" s="27">
        <f t="shared" si="35"/>
        <v>13321682504</v>
      </c>
      <c r="W30" s="27">
        <f t="shared" si="35"/>
        <v>11614800063.999998</v>
      </c>
      <c r="X30" s="115">
        <f t="shared" si="35"/>
        <v>19218098171.82</v>
      </c>
    </row>
    <row r="31" spans="2:25" x14ac:dyDescent="0.2">
      <c r="B31" s="96" t="s">
        <v>143</v>
      </c>
      <c r="C31" s="26">
        <f>+'BALANCES COMP'!O48</f>
        <v>7455325274</v>
      </c>
      <c r="D31" s="26">
        <f>+'BALANCES COMP'!M48</f>
        <v>7455325274</v>
      </c>
      <c r="E31" s="26">
        <f>+'BALANCES COMP'!K48</f>
        <v>30536671867</v>
      </c>
      <c r="F31" s="26">
        <f>+'BALANCES COMP'!I48</f>
        <v>30563423067</v>
      </c>
      <c r="G31" s="26">
        <f>+'BALANCES COMP'!G48</f>
        <v>30563423067</v>
      </c>
      <c r="H31" s="26">
        <f>+'BALANCES COMP'!E48</f>
        <v>30563423067.459999</v>
      </c>
      <c r="I31" s="102">
        <f>+'BALANCES COMP'!C48</f>
        <v>30602568967</v>
      </c>
      <c r="J31" s="24">
        <f t="shared" si="23"/>
        <v>0.3841881056991755</v>
      </c>
      <c r="K31" s="24">
        <f t="shared" si="24"/>
        <v>0.26342255346131777</v>
      </c>
      <c r="L31" s="24">
        <f t="shared" si="25"/>
        <v>0.58774453857561704</v>
      </c>
      <c r="M31" s="24">
        <f t="shared" si="26"/>
        <v>0.56913841315339531</v>
      </c>
      <c r="N31" s="24">
        <f t="shared" si="27"/>
        <v>0.45926956873223729</v>
      </c>
      <c r="O31" s="24">
        <f t="shared" si="28"/>
        <v>0.38564668671100588</v>
      </c>
      <c r="P31" s="24">
        <f t="shared" si="29"/>
        <v>0.28663951230249946</v>
      </c>
      <c r="Q31" s="141">
        <f t="shared" si="30"/>
        <v>1.2808087449366374E-3</v>
      </c>
      <c r="R31" s="114" t="s">
        <v>193</v>
      </c>
      <c r="S31" s="27">
        <f t="shared" ref="S31:X31" si="36">-D36+C36</f>
        <v>220668905</v>
      </c>
      <c r="T31" s="27">
        <f t="shared" si="36"/>
        <v>1747712955</v>
      </c>
      <c r="U31" s="27">
        <f t="shared" si="36"/>
        <v>942486330</v>
      </c>
      <c r="V31" s="27">
        <f t="shared" si="36"/>
        <v>894798325</v>
      </c>
      <c r="W31" s="27">
        <f t="shared" si="36"/>
        <v>936932439.81999969</v>
      </c>
      <c r="X31" s="115">
        <f t="shared" si="36"/>
        <v>345150641.38000011</v>
      </c>
    </row>
    <row r="32" spans="2:25" x14ac:dyDescent="0.2">
      <c r="B32" s="96" t="s">
        <v>144</v>
      </c>
      <c r="C32" s="26">
        <f>+'BALANCES COMP'!O47+'BALANCES COMP'!O49+'BALANCES COMP'!O50</f>
        <v>1017312108</v>
      </c>
      <c r="D32" s="26">
        <f>+'BALANCES COMP'!M47+'BALANCES COMP'!M49+'BALANCES COMP'!M50</f>
        <v>1017312108</v>
      </c>
      <c r="E32" s="26">
        <f>+'BALANCES COMP'!K47+'BALANCES COMP'!K49+'BALANCES COMP'!K50</f>
        <v>5232659418</v>
      </c>
      <c r="F32" s="26">
        <f>+'BALANCES COMP'!I49+'BALANCES COMP'!I50+'BALANCES COMP'!I47</f>
        <v>5244414502</v>
      </c>
      <c r="G32" s="26">
        <f>+'BALANCES COMP'!G49+'BALANCES COMP'!G50+'BALANCES COMP'!G47</f>
        <v>5481892410</v>
      </c>
      <c r="H32" s="26">
        <f>+'BALANCES COMP'!E49+'BALANCES COMP'!E50+'BALANCES COMP'!E47</f>
        <v>7385562852.7200003</v>
      </c>
      <c r="I32" s="102">
        <f>+'BALANCES COMP'!C49+'BALANCES COMP'!C50+'BALANCES COMP'!C47</f>
        <v>5463830304.0900002</v>
      </c>
      <c r="J32" s="24">
        <f t="shared" si="23"/>
        <v>5.242416625876585E-2</v>
      </c>
      <c r="K32" s="24">
        <f t="shared" si="24"/>
        <v>3.5945172518635826E-2</v>
      </c>
      <c r="L32" s="24">
        <f t="shared" si="25"/>
        <v>0.10071388946872514</v>
      </c>
      <c r="M32" s="24">
        <f t="shared" si="26"/>
        <v>9.7659144430379125E-2</v>
      </c>
      <c r="N32" s="24">
        <f t="shared" si="27"/>
        <v>8.2375143564845141E-2</v>
      </c>
      <c r="O32" s="24">
        <f t="shared" si="28"/>
        <v>9.3190407283920002E-2</v>
      </c>
      <c r="P32" s="24">
        <f t="shared" si="29"/>
        <v>5.1177064754165516E-2</v>
      </c>
      <c r="Q32" s="141">
        <f t="shared" si="30"/>
        <v>-0.26020123136887974</v>
      </c>
      <c r="R32" s="114" t="s">
        <v>194</v>
      </c>
      <c r="S32" s="27">
        <f t="shared" ref="S32:X32" si="37">+D40-C40</f>
        <v>-39708073</v>
      </c>
      <c r="T32" s="27">
        <f t="shared" si="37"/>
        <v>0</v>
      </c>
      <c r="U32" s="27">
        <f t="shared" si="37"/>
        <v>36031482</v>
      </c>
      <c r="V32" s="27">
        <f t="shared" si="37"/>
        <v>7807642</v>
      </c>
      <c r="W32" s="27">
        <f t="shared" si="37"/>
        <v>190227103.30000001</v>
      </c>
      <c r="X32" s="115">
        <f t="shared" si="37"/>
        <v>221754998</v>
      </c>
    </row>
    <row r="33" spans="2:24" x14ac:dyDescent="0.2">
      <c r="B33" s="96" t="s">
        <v>145</v>
      </c>
      <c r="C33" s="26">
        <f>+'BALANCES COMP'!O53</f>
        <v>220378538</v>
      </c>
      <c r="D33" s="26">
        <f>+'BALANCES COMP'!M53</f>
        <v>220378538</v>
      </c>
      <c r="E33" s="26">
        <f>+'BALANCES COMP'!K53</f>
        <v>220378538</v>
      </c>
      <c r="F33" s="26">
        <f>+'BALANCES COMP'!I53</f>
        <v>220378538</v>
      </c>
      <c r="G33" s="26">
        <f>+'BALANCES COMP'!G53</f>
        <v>723378538</v>
      </c>
      <c r="H33" s="26">
        <f>+'BALANCES COMP'!E53</f>
        <v>723378538</v>
      </c>
      <c r="I33" s="102">
        <f>+'BALANCES COMP'!C53</f>
        <v>723378538</v>
      </c>
      <c r="J33" s="24">
        <f t="shared" si="23"/>
        <v>1.1356555205745912E-2</v>
      </c>
      <c r="K33" s="24">
        <f t="shared" si="24"/>
        <v>7.7867396893449145E-3</v>
      </c>
      <c r="L33" s="24">
        <f t="shared" si="25"/>
        <v>4.2416633578446373E-3</v>
      </c>
      <c r="M33" s="24">
        <f t="shared" si="26"/>
        <v>4.1037907022204697E-3</v>
      </c>
      <c r="N33" s="24">
        <f t="shared" si="27"/>
        <v>1.0870043857624304E-2</v>
      </c>
      <c r="O33" s="24">
        <f t="shared" si="28"/>
        <v>9.1275291972960082E-3</v>
      </c>
      <c r="P33" s="24">
        <f t="shared" si="29"/>
        <v>6.7755380787151509E-3</v>
      </c>
      <c r="Q33" s="141">
        <f t="shared" si="30"/>
        <v>0</v>
      </c>
      <c r="R33" s="116" t="s">
        <v>195</v>
      </c>
      <c r="S33" s="34">
        <f t="shared" ref="S33:X33" si="38">SUM(S30:S32)</f>
        <v>5554100936</v>
      </c>
      <c r="T33" s="34">
        <f t="shared" si="38"/>
        <v>25389548212</v>
      </c>
      <c r="U33" s="34">
        <f t="shared" si="38"/>
        <v>3474247178</v>
      </c>
      <c r="V33" s="34">
        <f t="shared" si="38"/>
        <v>14224288471</v>
      </c>
      <c r="W33" s="34">
        <f t="shared" si="38"/>
        <v>12741959607.119997</v>
      </c>
      <c r="X33" s="117">
        <f t="shared" si="38"/>
        <v>19785003811.200001</v>
      </c>
    </row>
    <row r="34" spans="2:24" x14ac:dyDescent="0.2">
      <c r="B34" s="96" t="s">
        <v>146</v>
      </c>
      <c r="C34" s="26">
        <f>+'BALANCES COMP'!O51+'BALANCES COMP'!O52</f>
        <v>288461864</v>
      </c>
      <c r="D34" s="26">
        <f>+'BALANCES COMP'!M51+'BALANCES COMP'!M52</f>
        <v>288461864</v>
      </c>
      <c r="E34" s="26">
        <f>+'BALANCES COMP'!K51+'BALANCES COMP'!K52</f>
        <v>325151844</v>
      </c>
      <c r="F34" s="26">
        <f>+'BALANCES COMP'!I51+'BALANCES COMP'!I52</f>
        <v>325151844</v>
      </c>
      <c r="G34" s="26">
        <f>+'BALANCES COMP'!G51+'BALANCES COMP'!G52</f>
        <v>420506259</v>
      </c>
      <c r="H34" s="26">
        <f>+'BALANCES COMP'!E51+'BALANCES COMP'!E52</f>
        <v>912832010.48000002</v>
      </c>
      <c r="I34" s="102">
        <f>+'BALANCES COMP'!C51+'BALANCES COMP'!C52</f>
        <v>1035257807.3899999</v>
      </c>
      <c r="J34" s="24">
        <f t="shared" si="23"/>
        <v>1.486502775178756E-2</v>
      </c>
      <c r="K34" s="24">
        <f t="shared" si="24"/>
        <v>1.0192360225528019E-2</v>
      </c>
      <c r="L34" s="24">
        <f t="shared" si="25"/>
        <v>6.2582530719502982E-3</v>
      </c>
      <c r="M34" s="24">
        <f t="shared" si="26"/>
        <v>6.0548324093929722E-3</v>
      </c>
      <c r="N34" s="24">
        <f t="shared" si="27"/>
        <v>6.3188513864030679E-3</v>
      </c>
      <c r="O34" s="24">
        <f t="shared" si="28"/>
        <v>1.1518037085975333E-2</v>
      </c>
      <c r="P34" s="24">
        <f t="shared" si="29"/>
        <v>9.6967608614040735E-3</v>
      </c>
      <c r="Q34" s="141">
        <f t="shared" si="30"/>
        <v>0.13411645900281691</v>
      </c>
      <c r="R34" s="114" t="s">
        <v>196</v>
      </c>
      <c r="S34" s="27">
        <f t="shared" ref="S34:X34" si="39">IF((+C63-C43+D20)-(D63-D43)&gt;0,(+C63-C43+D20)-(+D63-D43),0)</f>
        <v>0</v>
      </c>
      <c r="T34" s="27">
        <f t="shared" si="39"/>
        <v>0</v>
      </c>
      <c r="U34" s="27">
        <f t="shared" si="39"/>
        <v>179498585</v>
      </c>
      <c r="V34" s="27">
        <f t="shared" si="39"/>
        <v>0</v>
      </c>
      <c r="W34" s="27">
        <f t="shared" si="39"/>
        <v>238595839</v>
      </c>
      <c r="X34" s="115">
        <f t="shared" si="39"/>
        <v>0</v>
      </c>
    </row>
    <row r="35" spans="2:24" x14ac:dyDescent="0.2">
      <c r="B35" s="93" t="s">
        <v>147</v>
      </c>
      <c r="C35" s="26">
        <f>+'BALANCES COMP'!O46+'BALANCES COMP'!O54</f>
        <v>10172000</v>
      </c>
      <c r="D35" s="26">
        <f>+'BALANCES COMP'!M46+'BALANCES COMP'!M54</f>
        <v>2453372657</v>
      </c>
      <c r="E35" s="26">
        <f>+'BALANCES COMP'!K46+'BALANCES COMP'!K54</f>
        <v>10172000</v>
      </c>
      <c r="F35" s="26">
        <f>+'BALANCES COMP'!I46+'BALANCES COMP'!I54</f>
        <v>13685000</v>
      </c>
      <c r="G35" s="26">
        <f>+'BALANCES COMP'!G46+'BALANCES COMP'!G54</f>
        <v>13685000</v>
      </c>
      <c r="H35" s="26">
        <f>+'BALANCES COMP'!E46+'BALANCES COMP'!E54</f>
        <v>1047235028.66</v>
      </c>
      <c r="I35" s="102">
        <f>+'BALANCES COMP'!C46+'BALANCES COMP'!C54</f>
        <v>2323562192.2199998</v>
      </c>
      <c r="J35" s="24">
        <f t="shared" si="23"/>
        <v>5.2418389105044079E-4</v>
      </c>
      <c r="K35" s="24">
        <f t="shared" si="24"/>
        <v>8.6686182848783072E-2</v>
      </c>
      <c r="L35" s="24">
        <f t="shared" si="25"/>
        <v>1.9578222120701994E-4</v>
      </c>
      <c r="M35" s="24">
        <f t="shared" si="26"/>
        <v>2.5483595757354164E-4</v>
      </c>
      <c r="N35" s="24">
        <f t="shared" si="27"/>
        <v>2.0564136531182046E-4</v>
      </c>
      <c r="O35" s="24">
        <f t="shared" si="28"/>
        <v>1.3213922999365061E-2</v>
      </c>
      <c r="P35" s="24">
        <f t="shared" si="29"/>
        <v>2.1763687038845299E-2</v>
      </c>
      <c r="Q35" s="141">
        <f t="shared" si="30"/>
        <v>1.2187590451334855</v>
      </c>
      <c r="R35" s="114" t="s">
        <v>209</v>
      </c>
      <c r="S35" s="27">
        <f t="shared" ref="S35:X35" si="40">IF((+C54-D54)&gt;0,(C54-D54), 0)</f>
        <v>0</v>
      </c>
      <c r="T35" s="27">
        <f t="shared" si="40"/>
        <v>0</v>
      </c>
      <c r="U35" s="27">
        <f t="shared" si="40"/>
        <v>0</v>
      </c>
      <c r="V35" s="27">
        <f t="shared" si="40"/>
        <v>0</v>
      </c>
      <c r="W35" s="27">
        <f t="shared" si="40"/>
        <v>0</v>
      </c>
      <c r="X35" s="115">
        <f t="shared" si="40"/>
        <v>0</v>
      </c>
    </row>
    <row r="36" spans="2:24" x14ac:dyDescent="0.2">
      <c r="B36" s="93" t="s">
        <v>148</v>
      </c>
      <c r="C36" s="26">
        <f>+'BALANCES COMP'!O55</f>
        <v>-1617794766</v>
      </c>
      <c r="D36" s="26">
        <f>+'BALANCES COMP'!M55</f>
        <v>-1838463671</v>
      </c>
      <c r="E36" s="26">
        <f>+'BALANCES COMP'!K55</f>
        <v>-3586176626</v>
      </c>
      <c r="F36" s="26">
        <f>+'BALANCES COMP'!I55</f>
        <v>-4528662956</v>
      </c>
      <c r="G36" s="26">
        <f>+'BALANCES COMP'!G55</f>
        <v>-5423461281</v>
      </c>
      <c r="H36" s="26">
        <f>+'BALANCES COMP'!E55</f>
        <v>-6360393720.8199997</v>
      </c>
      <c r="I36" s="102">
        <f>+'BALANCES COMP'!C55</f>
        <v>-6705544362.1999998</v>
      </c>
      <c r="J36" s="24">
        <f t="shared" si="23"/>
        <v>-8.3368261439531785E-2</v>
      </c>
      <c r="K36" s="24">
        <f t="shared" si="24"/>
        <v>-6.4959311212031232E-2</v>
      </c>
      <c r="L36" s="24">
        <f t="shared" si="25"/>
        <v>-6.9023753979451083E-2</v>
      </c>
      <c r="M36" s="24">
        <f t="shared" si="26"/>
        <v>-8.4330738832304394E-2</v>
      </c>
      <c r="N36" s="24">
        <f t="shared" si="27"/>
        <v>-8.1497112352256831E-2</v>
      </c>
      <c r="O36" s="24">
        <f t="shared" si="28"/>
        <v>-8.025490990317817E-2</v>
      </c>
      <c r="P36" s="24">
        <f t="shared" si="29"/>
        <v>-6.2807601798935034E-2</v>
      </c>
      <c r="Q36" s="141">
        <f t="shared" si="30"/>
        <v>5.4265609415057141E-2</v>
      </c>
      <c r="R36" s="114" t="s">
        <v>210</v>
      </c>
      <c r="S36" s="27">
        <f t="shared" ref="S36:X40" si="41">IF((+D30-C30)&gt;0,(D30-C30),0)</f>
        <v>836832508</v>
      </c>
      <c r="T36" s="27">
        <f t="shared" si="41"/>
        <v>4434520409</v>
      </c>
      <c r="U36" s="27">
        <f t="shared" si="41"/>
        <v>0</v>
      </c>
      <c r="V36" s="27">
        <f t="shared" si="41"/>
        <v>0</v>
      </c>
      <c r="W36" s="27">
        <f t="shared" si="41"/>
        <v>0</v>
      </c>
      <c r="X36" s="115">
        <f t="shared" si="41"/>
        <v>0</v>
      </c>
    </row>
    <row r="37" spans="2:24" x14ac:dyDescent="0.2">
      <c r="B37" s="94" t="s">
        <v>149</v>
      </c>
      <c r="C37" s="25">
        <f t="shared" ref="C37:H37" si="42">SUM(C30:C36)</f>
        <v>8152929888</v>
      </c>
      <c r="D37" s="25">
        <f t="shared" si="42"/>
        <v>11212294148</v>
      </c>
      <c r="E37" s="25">
        <f t="shared" si="42"/>
        <v>38789284828</v>
      </c>
      <c r="F37" s="25">
        <f t="shared" si="42"/>
        <v>37888817782</v>
      </c>
      <c r="G37" s="25">
        <f t="shared" si="42"/>
        <v>37829851780</v>
      </c>
      <c r="H37" s="25">
        <f t="shared" si="42"/>
        <v>40322465563.500008</v>
      </c>
      <c r="I37" s="95">
        <f>SUM(I30:I36)</f>
        <v>39493481233.5</v>
      </c>
      <c r="J37" s="106">
        <f t="shared" si="23"/>
        <v>0.42013709321207965</v>
      </c>
      <c r="K37" s="106">
        <f t="shared" si="24"/>
        <v>0.39616932140116712</v>
      </c>
      <c r="L37" s="106">
        <f t="shared" si="25"/>
        <v>0.74658398964388495</v>
      </c>
      <c r="M37" s="106">
        <f t="shared" si="26"/>
        <v>0.70554864163722331</v>
      </c>
      <c r="N37" s="106">
        <f t="shared" si="27"/>
        <v>0.56846053120811113</v>
      </c>
      <c r="O37" s="106">
        <f t="shared" si="28"/>
        <v>0.50878545934661001</v>
      </c>
      <c r="P37" s="106">
        <f t="shared" si="29"/>
        <v>0.3699164018584713</v>
      </c>
      <c r="Q37" s="141">
        <f t="shared" si="30"/>
        <v>-2.055887005953342E-2</v>
      </c>
      <c r="R37" s="114" t="s">
        <v>211</v>
      </c>
      <c r="S37" s="27">
        <f t="shared" si="41"/>
        <v>0</v>
      </c>
      <c r="T37" s="27">
        <f t="shared" si="41"/>
        <v>23081346593</v>
      </c>
      <c r="U37" s="27">
        <f t="shared" si="41"/>
        <v>26751200</v>
      </c>
      <c r="V37" s="27">
        <f t="shared" si="41"/>
        <v>0</v>
      </c>
      <c r="W37" s="27">
        <f t="shared" si="41"/>
        <v>0.45999908447265625</v>
      </c>
      <c r="X37" s="115">
        <f t="shared" si="41"/>
        <v>39145899.540000916</v>
      </c>
    </row>
    <row r="38" spans="2:24" x14ac:dyDescent="0.2">
      <c r="B38" s="93" t="s">
        <v>134</v>
      </c>
      <c r="C38" s="26">
        <f>+'BALANCES COMP'!O37</f>
        <v>19641971</v>
      </c>
      <c r="D38" s="26">
        <f>+'BALANCES COMP'!M37</f>
        <v>1213829193</v>
      </c>
      <c r="E38" s="26">
        <f>+'BALANCES COMP'!K37</f>
        <v>0</v>
      </c>
      <c r="F38" s="26">
        <f>+'BALANCES COMP'!I37</f>
        <v>0</v>
      </c>
      <c r="G38" s="26">
        <f>+'BALANCES COMP'!G37</f>
        <v>0</v>
      </c>
      <c r="H38" s="26">
        <f>+'BALANCES COMP'!E37</f>
        <v>0</v>
      </c>
      <c r="I38" s="102">
        <f>+'BALANCES COMP'!C37</f>
        <v>0</v>
      </c>
      <c r="J38" s="24">
        <f t="shared" si="23"/>
        <v>1.012190796960275E-3</v>
      </c>
      <c r="K38" s="24">
        <f t="shared" si="24"/>
        <v>4.2888804141257203E-2</v>
      </c>
      <c r="L38" s="24">
        <f t="shared" si="25"/>
        <v>0</v>
      </c>
      <c r="M38" s="24">
        <f t="shared" si="26"/>
        <v>0</v>
      </c>
      <c r="N38" s="24">
        <f t="shared" si="27"/>
        <v>0</v>
      </c>
      <c r="O38" s="24">
        <f t="shared" si="28"/>
        <v>0</v>
      </c>
      <c r="P38" s="24">
        <f t="shared" si="29"/>
        <v>0</v>
      </c>
      <c r="Q38" s="141" t="e">
        <f t="shared" si="30"/>
        <v>#DIV/0!</v>
      </c>
      <c r="R38" s="114" t="s">
        <v>212</v>
      </c>
      <c r="S38" s="27">
        <f t="shared" si="41"/>
        <v>0</v>
      </c>
      <c r="T38" s="27">
        <f t="shared" si="41"/>
        <v>4215347310</v>
      </c>
      <c r="U38" s="27">
        <f t="shared" si="41"/>
        <v>11755084</v>
      </c>
      <c r="V38" s="27">
        <f t="shared" si="41"/>
        <v>237477908</v>
      </c>
      <c r="W38" s="27">
        <f t="shared" si="41"/>
        <v>1903670442.7200003</v>
      </c>
      <c r="X38" s="115">
        <f t="shared" si="41"/>
        <v>0</v>
      </c>
    </row>
    <row r="39" spans="2:24" x14ac:dyDescent="0.2">
      <c r="B39" s="93" t="s">
        <v>150</v>
      </c>
      <c r="C39" s="26">
        <f>+'BALANCES COMP'!O35</f>
        <v>0</v>
      </c>
      <c r="D39" s="26">
        <f>+'BALANCES COMP'!M35</f>
        <v>0</v>
      </c>
      <c r="E39" s="26">
        <f>+'BALANCES COMP'!K35</f>
        <v>0</v>
      </c>
      <c r="F39" s="26">
        <f>+'BALANCES COMP'!I35</f>
        <v>0</v>
      </c>
      <c r="G39" s="26">
        <f>+'BALANCES COMP'!G35</f>
        <v>62877913</v>
      </c>
      <c r="H39" s="26">
        <f>+'BALANCES COMP'!E35</f>
        <v>62877913</v>
      </c>
      <c r="I39" s="102">
        <f>+'BALANCES COMP'!C35</f>
        <v>62877913</v>
      </c>
      <c r="J39" s="24">
        <f t="shared" si="23"/>
        <v>0</v>
      </c>
      <c r="K39" s="24">
        <f t="shared" si="24"/>
        <v>0</v>
      </c>
      <c r="L39" s="24">
        <f t="shared" si="25"/>
        <v>0</v>
      </c>
      <c r="M39" s="24">
        <f t="shared" si="26"/>
        <v>0</v>
      </c>
      <c r="N39" s="24">
        <f t="shared" si="27"/>
        <v>9.4485201879999014E-4</v>
      </c>
      <c r="O39" s="24">
        <f t="shared" si="28"/>
        <v>7.9338818699171618E-4</v>
      </c>
      <c r="P39" s="24">
        <f t="shared" si="29"/>
        <v>5.8894710232837791E-4</v>
      </c>
      <c r="Q39" s="141">
        <f t="shared" si="30"/>
        <v>0</v>
      </c>
      <c r="R39" s="114" t="s">
        <v>325</v>
      </c>
      <c r="S39" s="27">
        <f t="shared" si="41"/>
        <v>0</v>
      </c>
      <c r="T39" s="27">
        <f t="shared" si="41"/>
        <v>0</v>
      </c>
      <c r="U39" s="27">
        <f t="shared" si="41"/>
        <v>0</v>
      </c>
      <c r="V39" s="27">
        <f t="shared" si="41"/>
        <v>503000000</v>
      </c>
      <c r="W39" s="27">
        <f t="shared" si="41"/>
        <v>0</v>
      </c>
      <c r="X39" s="115">
        <f t="shared" si="41"/>
        <v>0</v>
      </c>
    </row>
    <row r="40" spans="2:24" x14ac:dyDescent="0.2">
      <c r="B40" s="93" t="s">
        <v>151</v>
      </c>
      <c r="C40" s="26">
        <f>+'BALANCES COMP'!O58</f>
        <v>39708073</v>
      </c>
      <c r="D40" s="26">
        <f>+'BALANCES COMP'!M58</f>
        <v>0</v>
      </c>
      <c r="E40" s="26">
        <f>+'BALANCES COMP'!K58</f>
        <v>0</v>
      </c>
      <c r="F40" s="26">
        <f>+'BALANCES COMP'!I58</f>
        <v>36031482</v>
      </c>
      <c r="G40" s="26">
        <f>+'BALANCES COMP'!G58</f>
        <v>43839124</v>
      </c>
      <c r="H40" s="26">
        <f>+'BALANCES COMP'!E58</f>
        <v>234066227.30000001</v>
      </c>
      <c r="I40" s="102">
        <f>+'BALANCES COMP'!C58</f>
        <v>455821225.30000001</v>
      </c>
      <c r="J40" s="24">
        <f t="shared" si="23"/>
        <v>2.0462379287509778E-3</v>
      </c>
      <c r="K40" s="24">
        <f t="shared" si="24"/>
        <v>0</v>
      </c>
      <c r="L40" s="24">
        <f t="shared" si="25"/>
        <v>0</v>
      </c>
      <c r="M40" s="24">
        <f t="shared" si="26"/>
        <v>6.7096216428672473E-4</v>
      </c>
      <c r="N40" s="24">
        <f t="shared" si="27"/>
        <v>6.5876049056881223E-4</v>
      </c>
      <c r="O40" s="24">
        <f t="shared" si="28"/>
        <v>2.9534278549216155E-3</v>
      </c>
      <c r="P40" s="24">
        <f t="shared" si="29"/>
        <v>4.2694577000385765E-3</v>
      </c>
      <c r="Q40" s="141">
        <f t="shared" si="30"/>
        <v>0.94740279517462866</v>
      </c>
      <c r="R40" s="118" t="s">
        <v>213</v>
      </c>
      <c r="S40" s="27">
        <f t="shared" si="41"/>
        <v>0</v>
      </c>
      <c r="T40" s="27">
        <f t="shared" si="41"/>
        <v>36689980</v>
      </c>
      <c r="U40" s="27">
        <f t="shared" si="41"/>
        <v>0</v>
      </c>
      <c r="V40" s="27">
        <f t="shared" si="41"/>
        <v>95354415</v>
      </c>
      <c r="W40" s="27">
        <f t="shared" si="41"/>
        <v>492325751.48000002</v>
      </c>
      <c r="X40" s="115">
        <f t="shared" si="41"/>
        <v>122425796.90999985</v>
      </c>
    </row>
    <row r="41" spans="2:24" x14ac:dyDescent="0.2">
      <c r="B41" s="93" t="s">
        <v>152</v>
      </c>
      <c r="C41" s="26">
        <f>+'BALANCES COMP'!O56-'BALANCES COMP'!O58-'BALANCES COMP'!O63</f>
        <v>46678241</v>
      </c>
      <c r="D41" s="26">
        <f>+'BALANCES COMP'!M56-'BALANCES COMP'!M58-'BALANCES COMP'!M63</f>
        <v>46678241</v>
      </c>
      <c r="E41" s="26">
        <f>+'BALANCES COMP'!K56-'BALANCES COMP'!K58-'BALANCES COMP'!K63</f>
        <v>45481817</v>
      </c>
      <c r="F41" s="26">
        <f>+'BALANCES COMP'!I56-'BALANCES COMP'!I58-'BALANCES COMP'!I63</f>
        <v>90982016</v>
      </c>
      <c r="G41" s="26">
        <f>+'BALANCES COMP'!G56-'BALANCES COMP'!G58-'BALANCES COMP'!G63</f>
        <v>282788162</v>
      </c>
      <c r="H41" s="26">
        <f>+'BALANCES COMP'!E56-'BALANCES COMP'!E58-'BALANCES COMP'!E63</f>
        <v>545692810</v>
      </c>
      <c r="I41" s="102">
        <f>+'BALANCES COMP'!C56-'BALANCES COMP'!C58-'BALANCES COMP'!C63</f>
        <v>580417872</v>
      </c>
      <c r="J41" s="24">
        <f t="shared" si="23"/>
        <v>2.4054248913458727E-3</v>
      </c>
      <c r="K41" s="24">
        <f t="shared" si="24"/>
        <v>1.6493044881870805E-3</v>
      </c>
      <c r="L41" s="24">
        <f t="shared" si="25"/>
        <v>8.7539629933063305E-4</v>
      </c>
      <c r="M41" s="24">
        <f t="shared" si="26"/>
        <v>1.6942264646935539E-3</v>
      </c>
      <c r="N41" s="24">
        <f t="shared" si="27"/>
        <v>4.249393038195123E-3</v>
      </c>
      <c r="O41" s="24">
        <f t="shared" si="28"/>
        <v>6.8855057129570294E-3</v>
      </c>
      <c r="P41" s="24">
        <f t="shared" si="29"/>
        <v>5.4364944309459404E-3</v>
      </c>
      <c r="Q41" s="141">
        <f t="shared" si="30"/>
        <v>6.3634816812044859E-2</v>
      </c>
      <c r="R41" s="114" t="s">
        <v>214</v>
      </c>
      <c r="S41" s="27">
        <f t="shared" ref="S41:X41" si="43">IF((+D39-C39)&gt;0,(D39-C39),0)</f>
        <v>0</v>
      </c>
      <c r="T41" s="27">
        <f t="shared" si="43"/>
        <v>0</v>
      </c>
      <c r="U41" s="27">
        <f t="shared" si="43"/>
        <v>0</v>
      </c>
      <c r="V41" s="27">
        <f t="shared" si="43"/>
        <v>62877913</v>
      </c>
      <c r="W41" s="27">
        <f t="shared" si="43"/>
        <v>0</v>
      </c>
      <c r="X41" s="115">
        <f t="shared" si="43"/>
        <v>0</v>
      </c>
    </row>
    <row r="42" spans="2:24" x14ac:dyDescent="0.2">
      <c r="B42" s="100" t="s">
        <v>153</v>
      </c>
      <c r="I42" s="132"/>
      <c r="J42" s="24">
        <f t="shared" si="23"/>
        <v>0</v>
      </c>
      <c r="K42" s="24">
        <f t="shared" si="24"/>
        <v>0</v>
      </c>
      <c r="L42" s="24">
        <f t="shared" si="25"/>
        <v>0</v>
      </c>
      <c r="M42" s="24">
        <f t="shared" si="26"/>
        <v>0</v>
      </c>
      <c r="N42" s="24">
        <f t="shared" si="27"/>
        <v>0</v>
      </c>
      <c r="O42" s="24">
        <f t="shared" si="28"/>
        <v>0</v>
      </c>
      <c r="P42" s="24">
        <f t="shared" si="29"/>
        <v>0</v>
      </c>
      <c r="Q42" s="141" t="e">
        <f t="shared" si="30"/>
        <v>#DIV/0!</v>
      </c>
      <c r="R42" s="114" t="s">
        <v>197</v>
      </c>
      <c r="S42" s="27">
        <f t="shared" ref="S42:X42" si="44">IF((+D41-C41)&gt;0,(D41-C41),0)</f>
        <v>0</v>
      </c>
      <c r="T42" s="27">
        <f t="shared" si="44"/>
        <v>0</v>
      </c>
      <c r="U42" s="27">
        <f t="shared" si="44"/>
        <v>45500199</v>
      </c>
      <c r="V42" s="27">
        <f t="shared" si="44"/>
        <v>191806146</v>
      </c>
      <c r="W42" s="27">
        <f t="shared" si="44"/>
        <v>262904648</v>
      </c>
      <c r="X42" s="115">
        <f t="shared" si="44"/>
        <v>34725062</v>
      </c>
    </row>
    <row r="43" spans="2:24" x14ac:dyDescent="0.2">
      <c r="B43" s="93" t="s">
        <v>154</v>
      </c>
      <c r="C43" s="26">
        <f>+'BALANCES COMP'!O63</f>
        <v>0</v>
      </c>
      <c r="D43" s="26">
        <f>+'BALANCES COMP'!M63</f>
        <v>0</v>
      </c>
      <c r="E43" s="26">
        <f>+'BALANCES COMP'!K63</f>
        <v>0</v>
      </c>
      <c r="F43" s="26">
        <f>+'BALANCES COMP'!I63</f>
        <v>0</v>
      </c>
      <c r="G43" s="26">
        <f>+'BALANCES COMP'!G63</f>
        <v>0</v>
      </c>
      <c r="H43" s="26">
        <f>+'BALANCES COMP'!E63</f>
        <v>0</v>
      </c>
      <c r="I43" s="102">
        <f>+'BALANCES COMP'!C63</f>
        <v>0</v>
      </c>
      <c r="J43" s="24">
        <f t="shared" si="23"/>
        <v>0</v>
      </c>
      <c r="K43" s="24">
        <f t="shared" si="24"/>
        <v>0</v>
      </c>
      <c r="L43" s="24">
        <f t="shared" si="25"/>
        <v>0</v>
      </c>
      <c r="M43" s="24">
        <f t="shared" si="26"/>
        <v>0</v>
      </c>
      <c r="N43" s="24">
        <f t="shared" si="27"/>
        <v>0</v>
      </c>
      <c r="O43" s="24">
        <f t="shared" si="28"/>
        <v>0</v>
      </c>
      <c r="P43" s="24">
        <f t="shared" si="29"/>
        <v>0</v>
      </c>
      <c r="Q43" s="141" t="e">
        <f t="shared" si="30"/>
        <v>#DIV/0!</v>
      </c>
      <c r="R43" s="116" t="s">
        <v>215</v>
      </c>
      <c r="S43" s="34">
        <f t="shared" ref="S43:X43" si="45">SUM(S34:S42)</f>
        <v>836832508</v>
      </c>
      <c r="T43" s="34">
        <f t="shared" si="45"/>
        <v>31767904292</v>
      </c>
      <c r="U43" s="34">
        <f t="shared" si="45"/>
        <v>263505068</v>
      </c>
      <c r="V43" s="34">
        <f t="shared" si="45"/>
        <v>1090516382</v>
      </c>
      <c r="W43" s="34">
        <f t="shared" si="45"/>
        <v>2897496681.6599994</v>
      </c>
      <c r="X43" s="117">
        <f t="shared" si="45"/>
        <v>196296758.45000076</v>
      </c>
    </row>
    <row r="44" spans="2:24" x14ac:dyDescent="0.2">
      <c r="B44" s="94" t="s">
        <v>155</v>
      </c>
      <c r="C44" s="25">
        <f t="shared" ref="C44:H44" si="46">SUM(C37:C43)</f>
        <v>8258958173</v>
      </c>
      <c r="D44" s="25">
        <f t="shared" si="46"/>
        <v>12472801582</v>
      </c>
      <c r="E44" s="25">
        <f t="shared" si="46"/>
        <v>38834766645</v>
      </c>
      <c r="F44" s="25">
        <f t="shared" si="46"/>
        <v>38015831280</v>
      </c>
      <c r="G44" s="25">
        <f t="shared" si="46"/>
        <v>38219356979</v>
      </c>
      <c r="H44" s="25">
        <f t="shared" si="46"/>
        <v>41165102513.800011</v>
      </c>
      <c r="I44" s="95">
        <f>SUM(I37:I43)</f>
        <v>40592598243.800003</v>
      </c>
      <c r="J44" s="106">
        <f>C44/$C$45</f>
        <v>0.42560094682913679</v>
      </c>
      <c r="K44" s="106">
        <f t="shared" si="24"/>
        <v>0.44070743003061141</v>
      </c>
      <c r="L44" s="106">
        <f t="shared" si="25"/>
        <v>0.74745938594321559</v>
      </c>
      <c r="M44" s="106">
        <f t="shared" si="26"/>
        <v>0.70791383026620358</v>
      </c>
      <c r="N44" s="106">
        <f t="shared" si="27"/>
        <v>0.57431353675567509</v>
      </c>
      <c r="O44" s="106">
        <f t="shared" si="28"/>
        <v>0.5194177811014804</v>
      </c>
      <c r="P44" s="106">
        <f t="shared" si="29"/>
        <v>0.38021130109178425</v>
      </c>
      <c r="Q44" s="141">
        <f t="shared" si="30"/>
        <v>-1.3907514740381948E-2</v>
      </c>
      <c r="R44" s="114" t="s">
        <v>198</v>
      </c>
      <c r="S44" s="27">
        <f t="shared" ref="S44:X44" si="47">IF((C63-C42+D20)-(D63-D42)&lt;0,(D63-D42)-(C63-C42+D20),0)</f>
        <v>95907881</v>
      </c>
      <c r="T44" s="27">
        <f t="shared" si="47"/>
        <v>2201220092</v>
      </c>
      <c r="U44" s="27">
        <f t="shared" si="47"/>
        <v>0</v>
      </c>
      <c r="V44" s="27">
        <f t="shared" si="47"/>
        <v>511270476</v>
      </c>
      <c r="W44" s="27">
        <f t="shared" si="47"/>
        <v>0</v>
      </c>
      <c r="X44" s="115">
        <f t="shared" si="47"/>
        <v>6336785079.2600098</v>
      </c>
    </row>
    <row r="45" spans="2:24" x14ac:dyDescent="0.2">
      <c r="B45" s="94" t="s">
        <v>156</v>
      </c>
      <c r="C45" s="25">
        <f t="shared" ref="C45:H45" si="48">C44+C29</f>
        <v>19405403664</v>
      </c>
      <c r="D45" s="25">
        <f t="shared" si="48"/>
        <v>28301772859</v>
      </c>
      <c r="E45" s="25">
        <f t="shared" si="48"/>
        <v>51955687995</v>
      </c>
      <c r="F45" s="25">
        <f t="shared" si="48"/>
        <v>53701212852</v>
      </c>
      <c r="G45" s="25">
        <f t="shared" si="48"/>
        <v>66547895066</v>
      </c>
      <c r="H45" s="25">
        <f t="shared" si="48"/>
        <v>79252393760</v>
      </c>
      <c r="I45" s="95">
        <f>I44+I29</f>
        <v>106763260658.58</v>
      </c>
      <c r="J45" s="106">
        <f>C45/$C$45</f>
        <v>1</v>
      </c>
      <c r="K45" s="106">
        <f t="shared" si="24"/>
        <v>1</v>
      </c>
      <c r="L45" s="106">
        <f t="shared" si="25"/>
        <v>1</v>
      </c>
      <c r="M45" s="106">
        <f t="shared" si="26"/>
        <v>1</v>
      </c>
      <c r="N45" s="106">
        <f t="shared" si="27"/>
        <v>1</v>
      </c>
      <c r="O45" s="106">
        <f t="shared" si="28"/>
        <v>1</v>
      </c>
      <c r="P45" s="106">
        <f t="shared" si="29"/>
        <v>1</v>
      </c>
      <c r="Q45" s="141">
        <f t="shared" si="30"/>
        <v>0.34712979120720505</v>
      </c>
      <c r="R45" s="114" t="s">
        <v>199</v>
      </c>
      <c r="S45" s="27">
        <f t="shared" ref="S45:X45" si="49">IF((+D30+D31+D32+D33+D34+D35)-(+C30+C31+C32+C33+C34+C35)&lt;0,(+C30+C31+C32+C33+C34+C35)-(+D30+D31+D32++D34+D35),0)</f>
        <v>0</v>
      </c>
      <c r="T45" s="27">
        <f t="shared" si="49"/>
        <v>0</v>
      </c>
      <c r="U45" s="27">
        <f t="shared" si="49"/>
        <v>0</v>
      </c>
      <c r="V45" s="27">
        <f t="shared" si="49"/>
        <v>0</v>
      </c>
      <c r="W45" s="27">
        <f t="shared" si="49"/>
        <v>0</v>
      </c>
      <c r="X45" s="115">
        <f t="shared" si="49"/>
        <v>1207212226.6200104</v>
      </c>
    </row>
    <row r="46" spans="2:24" x14ac:dyDescent="0.2">
      <c r="B46" s="101" t="s">
        <v>157</v>
      </c>
      <c r="C46" s="26"/>
      <c r="D46" s="26"/>
      <c r="E46" s="26"/>
      <c r="F46" s="26"/>
      <c r="G46" s="26"/>
      <c r="H46" s="26"/>
      <c r="I46" s="102"/>
      <c r="J46" s="24"/>
      <c r="K46" s="24"/>
      <c r="L46" s="24"/>
      <c r="M46" s="24"/>
      <c r="N46" s="24"/>
      <c r="O46" s="24"/>
      <c r="P46" s="24"/>
      <c r="Q46" s="141"/>
      <c r="R46" s="114" t="s">
        <v>216</v>
      </c>
      <c r="S46" s="27">
        <f t="shared" ref="S46:X46" si="50">IF(C53&lt;D53,(+D53-C53),0)</f>
        <v>0</v>
      </c>
      <c r="T46" s="27">
        <f t="shared" si="50"/>
        <v>0</v>
      </c>
      <c r="U46" s="27">
        <f t="shared" si="50"/>
        <v>0</v>
      </c>
      <c r="V46" s="27">
        <f t="shared" si="50"/>
        <v>0</v>
      </c>
      <c r="W46" s="27">
        <f t="shared" si="50"/>
        <v>0</v>
      </c>
      <c r="X46" s="115">
        <f t="shared" si="50"/>
        <v>0</v>
      </c>
    </row>
    <row r="47" spans="2:24" x14ac:dyDescent="0.2">
      <c r="B47" s="93" t="s">
        <v>158</v>
      </c>
      <c r="C47" s="26">
        <f>+'BALANCES COMP'!AE20</f>
        <v>374931653</v>
      </c>
      <c r="D47" s="26">
        <f>+'BALANCES COMP'!AC20</f>
        <v>3896602000</v>
      </c>
      <c r="E47" s="26">
        <f>+'BALANCES COMP'!AA20</f>
        <v>825141317</v>
      </c>
      <c r="F47" s="26">
        <f>+'BALANCES COMP'!Y20</f>
        <v>662022221</v>
      </c>
      <c r="G47" s="26">
        <f>+'BALANCES COMP'!W20</f>
        <v>935036882</v>
      </c>
      <c r="H47" s="26">
        <f>+'BALANCES COMP'!U20</f>
        <v>1938038418</v>
      </c>
      <c r="I47" s="102">
        <f>+'BALANCES COMP'!S20</f>
        <v>1818587417.0999999</v>
      </c>
      <c r="J47" s="24">
        <f t="shared" ref="J47:J55" si="51">C47/$C$55</f>
        <v>8.9968690275545438E-2</v>
      </c>
      <c r="K47" s="24">
        <f t="shared" ref="K47:K55" si="52">D47/$D$55</f>
        <v>0.51307005800560423</v>
      </c>
      <c r="L47" s="24">
        <f t="shared" ref="L47:L55" si="53">E47/$E$55</f>
        <v>0.15264739872423322</v>
      </c>
      <c r="M47" s="24">
        <f t="shared" ref="M47:M55" si="54">F47/$F$55</f>
        <v>0.13692765503862969</v>
      </c>
      <c r="N47" s="24">
        <f t="shared" ref="N47:N55" si="55">G47/$G$55</f>
        <v>0.24295751127574536</v>
      </c>
      <c r="O47" s="24">
        <f>H47/$H$55</f>
        <v>0.37436592680396152</v>
      </c>
      <c r="P47" s="24">
        <f t="shared" si="29"/>
        <v>1.7033831730895618E-2</v>
      </c>
      <c r="Q47" s="141">
        <f t="shared" si="30"/>
        <v>-6.1635001551347005E-2</v>
      </c>
      <c r="R47" s="114" t="s">
        <v>217</v>
      </c>
      <c r="S47" s="27">
        <f t="shared" ref="S47:X47" si="56">IF(C52&lt;D52,(+D52-C52),0)</f>
        <v>0</v>
      </c>
      <c r="T47" s="27">
        <f t="shared" si="56"/>
        <v>0</v>
      </c>
      <c r="U47" s="27">
        <f t="shared" si="56"/>
        <v>0</v>
      </c>
      <c r="V47" s="27">
        <f t="shared" si="56"/>
        <v>0</v>
      </c>
      <c r="W47" s="27">
        <f t="shared" si="56"/>
        <v>0</v>
      </c>
      <c r="X47" s="115">
        <f t="shared" si="56"/>
        <v>0</v>
      </c>
    </row>
    <row r="48" spans="2:24" x14ac:dyDescent="0.2">
      <c r="B48" s="93" t="s">
        <v>159</v>
      </c>
      <c r="C48" s="26">
        <f>+'BALANCES COMP'!AE29+'BALANCES COMP'!AE35</f>
        <v>350617658</v>
      </c>
      <c r="D48" s="26">
        <f>+'BALANCES COMP'!AC29+'BALANCES COMP'!AC35</f>
        <v>236396003</v>
      </c>
      <c r="E48" s="26">
        <f>+'BALANCES COMP'!AA29+'BALANCES COMP'!AA35</f>
        <v>112249615</v>
      </c>
      <c r="F48" s="26">
        <f>+'BALANCES COMP'!Y29+'BALANCES COMP'!Y35</f>
        <v>231196890</v>
      </c>
      <c r="G48" s="26">
        <f>+'BALANCES COMP'!W29+'BALANCES COMP'!W35</f>
        <v>186715416</v>
      </c>
      <c r="H48" s="26">
        <f>+'BALANCES COMP'!U29+'BALANCES COMP'!U35</f>
        <v>331430948</v>
      </c>
      <c r="I48" s="102">
        <f>+'BALANCES COMP'!S29+'BALANCES COMP'!S35</f>
        <v>484724553</v>
      </c>
      <c r="J48" s="24">
        <f t="shared" si="51"/>
        <v>8.4134298145638595E-2</v>
      </c>
      <c r="K48" s="24">
        <f t="shared" si="52"/>
        <v>3.1126533059189262E-2</v>
      </c>
      <c r="L48" s="24">
        <f t="shared" si="53"/>
        <v>2.0765669327823359E-2</v>
      </c>
      <c r="M48" s="24">
        <f t="shared" si="54"/>
        <v>4.7819011198906594E-2</v>
      </c>
      <c r="N48" s="24">
        <f t="shared" si="55"/>
        <v>4.8515640036726898E-2</v>
      </c>
      <c r="O48" s="24">
        <f t="shared" ref="O48:O55" si="57">H48/$H$55</f>
        <v>6.4021668955138111E-2</v>
      </c>
      <c r="P48" s="24">
        <f t="shared" si="29"/>
        <v>4.5401812384703076E-3</v>
      </c>
      <c r="Q48" s="141">
        <f t="shared" si="30"/>
        <v>0.46252049159875075</v>
      </c>
      <c r="R48" s="116" t="s">
        <v>218</v>
      </c>
      <c r="S48" s="34">
        <f t="shared" ref="S48:X48" si="58">SUM(S44:S47)</f>
        <v>95907881</v>
      </c>
      <c r="T48" s="34">
        <f t="shared" si="58"/>
        <v>2201220092</v>
      </c>
      <c r="U48" s="34">
        <f t="shared" si="58"/>
        <v>0</v>
      </c>
      <c r="V48" s="34">
        <f t="shared" si="58"/>
        <v>511270476</v>
      </c>
      <c r="W48" s="34">
        <f t="shared" si="58"/>
        <v>0</v>
      </c>
      <c r="X48" s="117">
        <f t="shared" si="58"/>
        <v>7543997305.8800201</v>
      </c>
    </row>
    <row r="49" spans="2:24" x14ac:dyDescent="0.2">
      <c r="B49" s="93" t="s">
        <v>160</v>
      </c>
      <c r="C49" s="26">
        <f>+'BALANCES COMP'!AE13-'BALANCES COMP'!AE20-'BALANCES COMP'!AE29-'BALANCES COMP'!AE35</f>
        <v>3441807709</v>
      </c>
      <c r="D49" s="26">
        <f>+'BALANCES COMP'!AC13-'BALANCES COMP'!AC20-'BALANCES COMP'!AC29-'BALANCES COMP'!AC35</f>
        <v>3461680227</v>
      </c>
      <c r="E49" s="26">
        <f>+'BALANCES COMP'!AA13-'BALANCES COMP'!AA20-'BALANCES COMP'!AA29-'BALANCES COMP'!AA35</f>
        <v>4468147085</v>
      </c>
      <c r="F49" s="26">
        <f>+'BALANCES COMP'!Y13-'BALANCES COMP'!Y20-'BALANCES COMP'!Y29-'BALANCES COMP'!Y35</f>
        <v>3941612982</v>
      </c>
      <c r="G49" s="26">
        <f>+'BALANCES COMP'!W13-'BALANCES COMP'!W20-'BALANCES COMP'!W29-'BALANCES COMP'!W35</f>
        <v>2726809029</v>
      </c>
      <c r="H49" s="26">
        <f>+'BALANCES COMP'!U13-'BALANCES COMP'!U20-'BALANCES COMP'!U29-'BALANCES COMP'!U35</f>
        <v>2907386430</v>
      </c>
      <c r="I49" s="102">
        <f>+'BALANCES COMP'!S13-'BALANCES COMP'!S20-'BALANCES COMP'!S29-'BALANCES COMP'!S35</f>
        <v>4829527473.6599998</v>
      </c>
      <c r="J49" s="24">
        <f t="shared" si="51"/>
        <v>0.82589701157881601</v>
      </c>
      <c r="K49" s="24">
        <f t="shared" si="52"/>
        <v>0.45580340893520649</v>
      </c>
      <c r="L49" s="24">
        <f t="shared" si="53"/>
        <v>0.82658693194794342</v>
      </c>
      <c r="M49" s="24">
        <f t="shared" si="54"/>
        <v>0.81525333376246367</v>
      </c>
      <c r="N49" s="24">
        <f t="shared" si="55"/>
        <v>0.7085268486875278</v>
      </c>
      <c r="O49" s="24">
        <f t="shared" si="57"/>
        <v>0.56161240424090031</v>
      </c>
      <c r="P49" s="24">
        <f t="shared" si="29"/>
        <v>4.5235855891517081E-2</v>
      </c>
      <c r="Q49" s="141">
        <f t="shared" si="30"/>
        <v>0.66112334563658259</v>
      </c>
      <c r="R49" s="116" t="s">
        <v>219</v>
      </c>
      <c r="S49" s="34">
        <f t="shared" ref="S49:X49" si="59">S33-S43+S48</f>
        <v>4813176309</v>
      </c>
      <c r="T49" s="34">
        <f t="shared" si="59"/>
        <v>-4177135988</v>
      </c>
      <c r="U49" s="34">
        <f t="shared" si="59"/>
        <v>3210742110</v>
      </c>
      <c r="V49" s="34">
        <f t="shared" si="59"/>
        <v>13645042565</v>
      </c>
      <c r="W49" s="34">
        <f t="shared" si="59"/>
        <v>9844462925.4599972</v>
      </c>
      <c r="X49" s="117">
        <f t="shared" si="59"/>
        <v>27132704358.63002</v>
      </c>
    </row>
    <row r="50" spans="2:24" x14ac:dyDescent="0.2">
      <c r="B50" s="94" t="s">
        <v>161</v>
      </c>
      <c r="C50" s="25">
        <f t="shared" ref="C50:H50" si="60">SUM(C47:C49)</f>
        <v>4167357020</v>
      </c>
      <c r="D50" s="25">
        <f t="shared" si="60"/>
        <v>7594678230</v>
      </c>
      <c r="E50" s="25">
        <f t="shared" si="60"/>
        <v>5405538017</v>
      </c>
      <c r="F50" s="25">
        <f t="shared" si="60"/>
        <v>4834832093</v>
      </c>
      <c r="G50" s="25">
        <f t="shared" si="60"/>
        <v>3848561327</v>
      </c>
      <c r="H50" s="25">
        <f t="shared" si="60"/>
        <v>5176855796</v>
      </c>
      <c r="I50" s="95">
        <f>SUM(I47:I49)</f>
        <v>7132839443.7600002</v>
      </c>
      <c r="J50" s="106">
        <f t="shared" si="51"/>
        <v>1</v>
      </c>
      <c r="K50" s="106">
        <f t="shared" si="52"/>
        <v>1</v>
      </c>
      <c r="L50" s="106">
        <f t="shared" si="53"/>
        <v>1</v>
      </c>
      <c r="M50" s="106">
        <f t="shared" si="54"/>
        <v>1</v>
      </c>
      <c r="N50" s="106">
        <f t="shared" si="55"/>
        <v>1</v>
      </c>
      <c r="O50" s="106">
        <f t="shared" si="57"/>
        <v>1</v>
      </c>
      <c r="P50" s="106">
        <f t="shared" si="29"/>
        <v>6.6809868860883012E-2</v>
      </c>
      <c r="Q50" s="141">
        <f t="shared" si="30"/>
        <v>0.37783236096151834</v>
      </c>
      <c r="R50" s="114" t="s">
        <v>200</v>
      </c>
      <c r="S50" s="27">
        <f t="shared" ref="S50:X51" si="61">IF(D25&gt;C25,(+D25-C25),0)</f>
        <v>1552863273</v>
      </c>
      <c r="T50" s="27">
        <f t="shared" si="61"/>
        <v>522293862</v>
      </c>
      <c r="U50" s="27">
        <f t="shared" si="61"/>
        <v>2239919205</v>
      </c>
      <c r="V50" s="27">
        <f t="shared" si="61"/>
        <v>12218767781</v>
      </c>
      <c r="W50" s="27">
        <f t="shared" si="61"/>
        <v>9315409042</v>
      </c>
      <c r="X50" s="115">
        <f t="shared" si="61"/>
        <v>23199211687.599998</v>
      </c>
    </row>
    <row r="51" spans="2:24" x14ac:dyDescent="0.2">
      <c r="B51" s="93" t="s">
        <v>159</v>
      </c>
      <c r="C51" s="26">
        <f>+'BALANCES COMP'!AE46</f>
        <v>0</v>
      </c>
      <c r="D51" s="26">
        <f>+'BALANCES COMP'!AC46</f>
        <v>0</v>
      </c>
      <c r="E51" s="26">
        <f>+'BALANCES COMP'!AA46</f>
        <v>0</v>
      </c>
      <c r="F51" s="26">
        <f>+'BALANCES COMP'!Y46</f>
        <v>0</v>
      </c>
      <c r="G51" s="26">
        <f>+'BALANCES COMP'!W46</f>
        <v>0</v>
      </c>
      <c r="H51" s="26">
        <f>+'BALANCES COMP'!U46</f>
        <v>0</v>
      </c>
      <c r="I51" s="102">
        <f>+'BALANCES COMP'!S46</f>
        <v>0</v>
      </c>
      <c r="J51" s="24">
        <f t="shared" si="51"/>
        <v>0</v>
      </c>
      <c r="K51" s="24">
        <f t="shared" si="52"/>
        <v>0</v>
      </c>
      <c r="L51" s="24">
        <f t="shared" si="53"/>
        <v>0</v>
      </c>
      <c r="M51" s="24">
        <f t="shared" si="54"/>
        <v>0</v>
      </c>
      <c r="N51" s="24">
        <f t="shared" si="55"/>
        <v>0</v>
      </c>
      <c r="O51" s="24">
        <f t="shared" si="57"/>
        <v>0</v>
      </c>
      <c r="P51" s="24">
        <f t="shared" si="29"/>
        <v>0</v>
      </c>
      <c r="Q51" s="141" t="e">
        <f t="shared" si="30"/>
        <v>#DIV/0!</v>
      </c>
      <c r="R51" s="114" t="s">
        <v>220</v>
      </c>
      <c r="S51" s="27">
        <f t="shared" si="61"/>
        <v>84430508</v>
      </c>
      <c r="T51" s="27">
        <f t="shared" si="61"/>
        <v>18757513</v>
      </c>
      <c r="U51" s="27">
        <f t="shared" si="61"/>
        <v>218686282</v>
      </c>
      <c r="V51" s="27">
        <f t="shared" si="61"/>
        <v>610487707</v>
      </c>
      <c r="W51" s="27">
        <f t="shared" si="61"/>
        <v>545581708</v>
      </c>
      <c r="X51" s="115">
        <f t="shared" si="61"/>
        <v>1467656150.8200002</v>
      </c>
    </row>
    <row r="52" spans="2:24" x14ac:dyDescent="0.2">
      <c r="B52" s="93" t="s">
        <v>162</v>
      </c>
      <c r="C52" s="26">
        <f>+'BALANCES COMP'!AE41</f>
        <v>0</v>
      </c>
      <c r="D52" s="26">
        <f>+'BALANCES COMP'!AC41</f>
        <v>0</v>
      </c>
      <c r="E52" s="26">
        <f>+'BALANCES COMP'!AA41</f>
        <v>0</v>
      </c>
      <c r="F52" s="26">
        <f>+'BALANCES COMP'!Y41</f>
        <v>0</v>
      </c>
      <c r="G52" s="26">
        <f>+'BALANCES COMP'!W41</f>
        <v>0</v>
      </c>
      <c r="H52" s="26">
        <f>+'BALANCES COMP'!U41</f>
        <v>0</v>
      </c>
      <c r="I52" s="102">
        <f>+'BALANCES COMP'!S41</f>
        <v>0</v>
      </c>
      <c r="J52" s="24">
        <f t="shared" si="51"/>
        <v>0</v>
      </c>
      <c r="K52" s="24">
        <f t="shared" si="52"/>
        <v>0</v>
      </c>
      <c r="L52" s="24">
        <f t="shared" si="53"/>
        <v>0</v>
      </c>
      <c r="M52" s="24">
        <f t="shared" si="54"/>
        <v>0</v>
      </c>
      <c r="N52" s="24">
        <f t="shared" si="55"/>
        <v>0</v>
      </c>
      <c r="O52" s="24">
        <f t="shared" si="57"/>
        <v>0</v>
      </c>
      <c r="P52" s="24">
        <f t="shared" si="29"/>
        <v>0</v>
      </c>
      <c r="Q52" s="141" t="e">
        <f t="shared" si="30"/>
        <v>#DIV/0!</v>
      </c>
      <c r="R52" s="114" t="s">
        <v>201</v>
      </c>
      <c r="S52" s="27">
        <f t="shared" ref="S52:X52" si="62">IF(D47&gt;C47,(+D47-C47),0)</f>
        <v>3521670347</v>
      </c>
      <c r="T52" s="27">
        <f t="shared" si="62"/>
        <v>0</v>
      </c>
      <c r="U52" s="27">
        <f t="shared" si="62"/>
        <v>0</v>
      </c>
      <c r="V52" s="27">
        <f t="shared" si="62"/>
        <v>273014661</v>
      </c>
      <c r="W52" s="27">
        <f t="shared" si="62"/>
        <v>1003001536</v>
      </c>
      <c r="X52" s="115">
        <f t="shared" si="62"/>
        <v>0</v>
      </c>
    </row>
    <row r="53" spans="2:24" x14ac:dyDescent="0.2">
      <c r="B53" s="100" t="s">
        <v>326</v>
      </c>
      <c r="C53" s="26">
        <f>+'BALANCES COMP'!AE45</f>
        <v>0</v>
      </c>
      <c r="D53" s="26">
        <f>+'BALANCES COMP'!AC45</f>
        <v>0</v>
      </c>
      <c r="E53" s="26">
        <f>+'BALANCES COMP'!AA45</f>
        <v>0</v>
      </c>
      <c r="F53" s="26">
        <f>+'BALANCES COMP'!Y45</f>
        <v>0</v>
      </c>
      <c r="G53" s="26">
        <f>+'BALANCES COMP'!W45</f>
        <v>0</v>
      </c>
      <c r="H53" s="26">
        <f>+'BALANCES COMP'!U45</f>
        <v>0</v>
      </c>
      <c r="I53" s="102">
        <f>+'BALANCES COMP'!S45</f>
        <v>0</v>
      </c>
      <c r="J53" s="24">
        <f t="shared" si="51"/>
        <v>0</v>
      </c>
      <c r="K53" s="24">
        <f t="shared" si="52"/>
        <v>0</v>
      </c>
      <c r="L53" s="24">
        <f t="shared" si="53"/>
        <v>0</v>
      </c>
      <c r="M53" s="24">
        <f t="shared" si="54"/>
        <v>0</v>
      </c>
      <c r="N53" s="24">
        <f t="shared" si="55"/>
        <v>0</v>
      </c>
      <c r="O53" s="24">
        <f t="shared" si="57"/>
        <v>0</v>
      </c>
      <c r="P53" s="24">
        <f t="shared" si="29"/>
        <v>0</v>
      </c>
      <c r="Q53" s="141" t="e">
        <f t="shared" si="30"/>
        <v>#DIV/0!</v>
      </c>
      <c r="R53" s="114" t="s">
        <v>222</v>
      </c>
      <c r="S53" s="27">
        <f t="shared" ref="S53:X53" si="63">IF(D49&gt;C49,(+D49-C49),0)</f>
        <v>19872518</v>
      </c>
      <c r="T53" s="27">
        <f t="shared" si="63"/>
        <v>1006466858</v>
      </c>
      <c r="U53" s="27">
        <f t="shared" si="63"/>
        <v>0</v>
      </c>
      <c r="V53" s="27">
        <f t="shared" si="63"/>
        <v>0</v>
      </c>
      <c r="W53" s="27">
        <f t="shared" si="63"/>
        <v>180577401</v>
      </c>
      <c r="X53" s="115">
        <f t="shared" si="63"/>
        <v>1922141043.6599998</v>
      </c>
    </row>
    <row r="54" spans="2:24" x14ac:dyDescent="0.2">
      <c r="B54" s="94" t="s">
        <v>163</v>
      </c>
      <c r="C54" s="25">
        <f t="shared" ref="C54:H54" si="64">C52+C51+C53</f>
        <v>0</v>
      </c>
      <c r="D54" s="25">
        <f t="shared" si="64"/>
        <v>0</v>
      </c>
      <c r="E54" s="25">
        <f t="shared" si="64"/>
        <v>0</v>
      </c>
      <c r="F54" s="25">
        <f t="shared" si="64"/>
        <v>0</v>
      </c>
      <c r="G54" s="25">
        <f t="shared" si="64"/>
        <v>0</v>
      </c>
      <c r="H54" s="25">
        <f t="shared" si="64"/>
        <v>0</v>
      </c>
      <c r="I54" s="95">
        <f>I52+I51+I53</f>
        <v>0</v>
      </c>
      <c r="J54" s="106">
        <f t="shared" si="51"/>
        <v>0</v>
      </c>
      <c r="K54" s="106">
        <f t="shared" si="52"/>
        <v>0</v>
      </c>
      <c r="L54" s="106">
        <f t="shared" si="53"/>
        <v>0</v>
      </c>
      <c r="M54" s="106">
        <f t="shared" si="54"/>
        <v>0</v>
      </c>
      <c r="N54" s="106">
        <f t="shared" si="55"/>
        <v>0</v>
      </c>
      <c r="O54" s="106">
        <f t="shared" si="57"/>
        <v>0</v>
      </c>
      <c r="P54" s="106">
        <f t="shared" si="29"/>
        <v>0</v>
      </c>
      <c r="Q54" s="141" t="e">
        <f t="shared" si="30"/>
        <v>#DIV/0!</v>
      </c>
      <c r="R54" s="116" t="s">
        <v>221</v>
      </c>
      <c r="S54" s="34">
        <f t="shared" ref="S54:X54" si="65">SUM(S50:S53)</f>
        <v>5178836646</v>
      </c>
      <c r="T54" s="34">
        <f t="shared" si="65"/>
        <v>1547518233</v>
      </c>
      <c r="U54" s="34">
        <f t="shared" si="65"/>
        <v>2458605487</v>
      </c>
      <c r="V54" s="34">
        <f t="shared" si="65"/>
        <v>13102270149</v>
      </c>
      <c r="W54" s="34">
        <f t="shared" si="65"/>
        <v>11044569687</v>
      </c>
      <c r="X54" s="117">
        <f t="shared" si="65"/>
        <v>26589008882.079998</v>
      </c>
    </row>
    <row r="55" spans="2:24" x14ac:dyDescent="0.2">
      <c r="B55" s="101" t="s">
        <v>164</v>
      </c>
      <c r="C55" s="25">
        <f t="shared" ref="C55:H55" si="66">C54+C50</f>
        <v>4167357020</v>
      </c>
      <c r="D55" s="25">
        <f t="shared" si="66"/>
        <v>7594678230</v>
      </c>
      <c r="E55" s="25">
        <f t="shared" si="66"/>
        <v>5405538017</v>
      </c>
      <c r="F55" s="25">
        <f t="shared" si="66"/>
        <v>4834832093</v>
      </c>
      <c r="G55" s="25">
        <f t="shared" si="66"/>
        <v>3848561327</v>
      </c>
      <c r="H55" s="25">
        <f t="shared" si="66"/>
        <v>5176855796</v>
      </c>
      <c r="I55" s="95">
        <f>I54+I50</f>
        <v>7132839443.7600002</v>
      </c>
      <c r="J55" s="106">
        <f t="shared" si="51"/>
        <v>1</v>
      </c>
      <c r="K55" s="106">
        <f t="shared" si="52"/>
        <v>1</v>
      </c>
      <c r="L55" s="106">
        <f t="shared" si="53"/>
        <v>1</v>
      </c>
      <c r="M55" s="106">
        <f t="shared" si="54"/>
        <v>1</v>
      </c>
      <c r="N55" s="106">
        <f t="shared" si="55"/>
        <v>1</v>
      </c>
      <c r="O55" s="106">
        <f t="shared" si="57"/>
        <v>1</v>
      </c>
      <c r="P55" s="106">
        <f t="shared" si="29"/>
        <v>6.6809868860883012E-2</v>
      </c>
      <c r="Q55" s="141">
        <f t="shared" si="30"/>
        <v>0.37783236096151834</v>
      </c>
      <c r="R55" s="114" t="s">
        <v>319</v>
      </c>
      <c r="S55" s="27">
        <f t="shared" ref="S55:X56" si="67">IF(D25&lt;C25,(+C25-D25),0)</f>
        <v>0</v>
      </c>
      <c r="T55" s="27">
        <f t="shared" si="67"/>
        <v>0</v>
      </c>
      <c r="U55" s="27">
        <f t="shared" si="67"/>
        <v>0</v>
      </c>
      <c r="V55" s="27">
        <f t="shared" si="67"/>
        <v>0</v>
      </c>
      <c r="W55" s="27">
        <f t="shared" si="67"/>
        <v>0</v>
      </c>
      <c r="X55" s="115">
        <f t="shared" si="67"/>
        <v>0</v>
      </c>
    </row>
    <row r="56" spans="2:24" x14ac:dyDescent="0.2">
      <c r="B56" s="101" t="s">
        <v>165</v>
      </c>
      <c r="C56" s="25"/>
      <c r="D56" s="25"/>
      <c r="E56" s="25"/>
      <c r="F56" s="25"/>
      <c r="G56" s="25"/>
      <c r="H56" s="25"/>
      <c r="I56" s="95"/>
      <c r="J56" s="24"/>
      <c r="K56" s="24"/>
      <c r="L56" s="24"/>
      <c r="M56" s="24"/>
      <c r="N56" s="24"/>
      <c r="O56" s="24"/>
      <c r="P56" s="24"/>
      <c r="Q56" s="141"/>
      <c r="R56" s="114" t="s">
        <v>320</v>
      </c>
      <c r="S56" s="27">
        <f t="shared" si="67"/>
        <v>0</v>
      </c>
      <c r="T56" s="27">
        <f t="shared" si="67"/>
        <v>0</v>
      </c>
      <c r="U56" s="27">
        <f t="shared" si="67"/>
        <v>0</v>
      </c>
      <c r="V56" s="27">
        <f t="shared" si="67"/>
        <v>0</v>
      </c>
      <c r="W56" s="27">
        <f t="shared" si="67"/>
        <v>0</v>
      </c>
      <c r="X56" s="115">
        <f t="shared" si="67"/>
        <v>0</v>
      </c>
    </row>
    <row r="57" spans="2:24" x14ac:dyDescent="0.2">
      <c r="B57" s="93" t="s">
        <v>166</v>
      </c>
      <c r="C57" s="26">
        <f>+'BALANCES COMP'!AE54</f>
        <v>15962502930</v>
      </c>
      <c r="D57" s="26">
        <f>+'BALANCES COMP'!AC54</f>
        <v>15260620048</v>
      </c>
      <c r="E57" s="26">
        <f>+'BALANCES COMP'!AA54</f>
        <v>15260620048</v>
      </c>
      <c r="F57" s="26">
        <f>+'BALANCES COMP'!Y54</f>
        <v>46370651394</v>
      </c>
      <c r="G57" s="26">
        <f>+'BALANCES COMP'!W54</f>
        <v>49377655134</v>
      </c>
      <c r="H57" s="26">
        <f>+'BALANCES COMP'!U54</f>
        <v>62460737900</v>
      </c>
      <c r="I57" s="102">
        <f>+'BALANCES COMP'!S54</f>
        <v>80412323043.26001</v>
      </c>
      <c r="J57" s="24">
        <f t="shared" ref="J57:J63" si="68">C57/$C$63</f>
        <v>1.0475425953814923</v>
      </c>
      <c r="K57" s="24">
        <f t="shared" ref="K57:K63" si="69">D57/$D$63</f>
        <v>0.73697543385095232</v>
      </c>
      <c r="L57" s="24">
        <f t="shared" ref="L57:L63" si="70">E57/$E$63</f>
        <v>0.32783181268400424</v>
      </c>
      <c r="M57" s="24">
        <f t="shared" ref="M57:M63" si="71">F57/$F$63</f>
        <v>0.94892747680028777</v>
      </c>
      <c r="N57" s="24">
        <f t="shared" ref="N57:N63" si="72">G57/$G$63</f>
        <v>0.78753077886832945</v>
      </c>
      <c r="O57" s="24">
        <f>H57/H$63</f>
        <v>0.84320329783302173</v>
      </c>
      <c r="P57" s="24">
        <f t="shared" si="29"/>
        <v>0.75318346917496182</v>
      </c>
      <c r="Q57" s="141">
        <f t="shared" si="30"/>
        <v>0.28740590884469858</v>
      </c>
      <c r="R57" s="114" t="s">
        <v>158</v>
      </c>
      <c r="S57" s="27">
        <f t="shared" ref="S57:X57" si="73">IF(D47&lt;C47,(+C47-D47),0)</f>
        <v>0</v>
      </c>
      <c r="T57" s="27">
        <f t="shared" si="73"/>
        <v>3071460683</v>
      </c>
      <c r="U57" s="27">
        <f t="shared" si="73"/>
        <v>163119096</v>
      </c>
      <c r="V57" s="27">
        <f t="shared" si="73"/>
        <v>0</v>
      </c>
      <c r="W57" s="27">
        <f t="shared" si="73"/>
        <v>0</v>
      </c>
      <c r="X57" s="115">
        <f t="shared" si="73"/>
        <v>119451000.9000001</v>
      </c>
    </row>
    <row r="58" spans="2:24" x14ac:dyDescent="0.2">
      <c r="B58" s="93" t="s">
        <v>176</v>
      </c>
      <c r="C58" s="26">
        <f>+'BALANCES COMP'!AE55</f>
        <v>0</v>
      </c>
      <c r="D58" s="26">
        <f>+'BALANCES COMP'!AC55</f>
        <v>0</v>
      </c>
      <c r="E58" s="26">
        <f>+'BALANCES COMP'!AA55</f>
        <v>7646099194</v>
      </c>
      <c r="F58" s="26">
        <f>+'BALANCES COMP'!Y55</f>
        <v>0</v>
      </c>
      <c r="G58" s="26">
        <f>+'BALANCES COMP'!W55</f>
        <v>0</v>
      </c>
      <c r="H58" s="26">
        <f>+'BALANCES COMP'!U55</f>
        <v>0</v>
      </c>
      <c r="I58" s="102">
        <f>+'BALANCES COMP'!S55</f>
        <v>0</v>
      </c>
      <c r="J58" s="24">
        <f t="shared" si="68"/>
        <v>0</v>
      </c>
      <c r="K58" s="24">
        <f t="shared" si="69"/>
        <v>0</v>
      </c>
      <c r="L58" s="24">
        <f t="shared" si="70"/>
        <v>0.16425509257464502</v>
      </c>
      <c r="M58" s="24">
        <f t="shared" si="71"/>
        <v>0</v>
      </c>
      <c r="N58" s="24">
        <f t="shared" si="72"/>
        <v>0</v>
      </c>
      <c r="O58" s="24">
        <f t="shared" ref="O58:O63" si="74">H58/H$63</f>
        <v>0</v>
      </c>
      <c r="P58" s="24">
        <f t="shared" si="29"/>
        <v>0</v>
      </c>
      <c r="Q58" s="141" t="e">
        <f t="shared" si="30"/>
        <v>#DIV/0!</v>
      </c>
      <c r="R58" s="116" t="s">
        <v>223</v>
      </c>
      <c r="S58" s="34">
        <f t="shared" ref="S58:X58" si="75">SUM(S55:S57)</f>
        <v>0</v>
      </c>
      <c r="T58" s="34">
        <f t="shared" si="75"/>
        <v>3071460683</v>
      </c>
      <c r="U58" s="34">
        <f t="shared" si="75"/>
        <v>163119096</v>
      </c>
      <c r="V58" s="34">
        <f t="shared" si="75"/>
        <v>0</v>
      </c>
      <c r="W58" s="34">
        <f t="shared" si="75"/>
        <v>0</v>
      </c>
      <c r="X58" s="117">
        <f t="shared" si="75"/>
        <v>119451000.9000001</v>
      </c>
    </row>
    <row r="59" spans="2:24" x14ac:dyDescent="0.2">
      <c r="B59" s="93" t="s">
        <v>167</v>
      </c>
      <c r="C59" s="26">
        <f>+'BALANCES COMP'!AE56</f>
        <v>-797789575</v>
      </c>
      <c r="D59" s="26">
        <f>+'BALANCES COMP'!AC56</f>
        <v>5373140104</v>
      </c>
      <c r="E59" s="26">
        <f>+'BALANCES COMP'!AA56</f>
        <v>23641835257</v>
      </c>
      <c r="F59" s="26">
        <f>+'BALANCES COMP'!Y56</f>
        <v>2495729365</v>
      </c>
      <c r="G59" s="26">
        <f>+'BALANCES COMP'!W56</f>
        <v>13321678605</v>
      </c>
      <c r="H59" s="26">
        <f>+'BALANCES COMP'!U56</f>
        <v>11614800064</v>
      </c>
      <c r="I59" s="102">
        <f>+'BALANCES COMP'!S56</f>
        <v>19218098171.82</v>
      </c>
      <c r="J59" s="24">
        <f t="shared" si="68"/>
        <v>-5.2355107819159398E-2</v>
      </c>
      <c r="K59" s="24">
        <f t="shared" si="69"/>
        <v>0.25948305159503116</v>
      </c>
      <c r="L59" s="24">
        <f t="shared" si="70"/>
        <v>0.50787882032975906</v>
      </c>
      <c r="M59" s="24">
        <f t="shared" si="71"/>
        <v>5.1072523199712255E-2</v>
      </c>
      <c r="N59" s="24">
        <f t="shared" si="72"/>
        <v>0.21246922113167049</v>
      </c>
      <c r="O59" s="24">
        <f t="shared" si="74"/>
        <v>0.15679670216697827</v>
      </c>
      <c r="P59" s="24">
        <f t="shared" si="29"/>
        <v>0.18000666196659049</v>
      </c>
      <c r="Q59" s="141">
        <f t="shared" si="30"/>
        <v>0.65462152305026533</v>
      </c>
      <c r="R59" s="116" t="s">
        <v>202</v>
      </c>
      <c r="S59" s="34">
        <f t="shared" ref="S59:X59" si="76">+S49-S54+S58</f>
        <v>-365660337</v>
      </c>
      <c r="T59" s="34">
        <f t="shared" si="76"/>
        <v>-2653193538</v>
      </c>
      <c r="U59" s="34">
        <f t="shared" si="76"/>
        <v>915255719</v>
      </c>
      <c r="V59" s="34">
        <f t="shared" si="76"/>
        <v>542772416</v>
      </c>
      <c r="W59" s="34">
        <f t="shared" si="76"/>
        <v>-1200106761.5400028</v>
      </c>
      <c r="X59" s="117">
        <f t="shared" si="76"/>
        <v>663146477.45002222</v>
      </c>
    </row>
    <row r="60" spans="2:24" x14ac:dyDescent="0.2">
      <c r="B60" s="93" t="s">
        <v>168</v>
      </c>
      <c r="C60" s="26">
        <f>+'BALANCES COMP'!AE57+'BALANCES COMP'!AE58+'BALANCES COMP'!AE59+'BALANCES COMP'!AE60</f>
        <v>1594291</v>
      </c>
      <c r="D60" s="26">
        <f>+'BALANCES COMP'!AC57+'BALANCES COMP'!AC58+'ANALISIS FINANCIERO ESE'!AA60+'BALANCES COMP'!AC60+'BALANCES COMP'!AC59</f>
        <v>1595479</v>
      </c>
      <c r="E60" s="26">
        <f>+'BALANCES COMP'!AA57+'BALANCES COMP'!AA58+'BALANCES COMP'!AA59+'BALANCES COMP'!AA60</f>
        <v>1595479</v>
      </c>
      <c r="F60" s="26">
        <f>+'BALANCES COMP'!Y57+'BALANCES COMP'!Y58+'BALANCES COMP'!Y59+'BALANCES COMP'!Y60</f>
        <v>0</v>
      </c>
      <c r="G60" s="26">
        <f>+'BALANCES COMP'!W57+'BALANCES COMP'!W58+'BALANCES COMP'!W59+'BALANCES COMP'!W60</f>
        <v>0</v>
      </c>
      <c r="H60" s="26">
        <f>+'BALANCES COMP'!U57+'BALANCES COMP'!U58+'BALANCES COMP'!U59+'BALANCES COMP'!U60</f>
        <v>0</v>
      </c>
      <c r="I60" s="102">
        <f>+'BALANCES COMP'!S57+'BALANCES COMP'!S58+'BALANCES COMP'!S59+'BALANCES COMP'!S60</f>
        <v>0</v>
      </c>
      <c r="J60" s="24">
        <f t="shared" si="68"/>
        <v>1.0462568052498738E-4</v>
      </c>
      <c r="K60" s="24">
        <f t="shared" si="69"/>
        <v>7.7049872451230008E-5</v>
      </c>
      <c r="L60" s="24">
        <f t="shared" si="70"/>
        <v>3.4274411591671286E-5</v>
      </c>
      <c r="M60" s="24">
        <f t="shared" si="71"/>
        <v>0</v>
      </c>
      <c r="N60" s="24">
        <f t="shared" si="72"/>
        <v>0</v>
      </c>
      <c r="O60" s="24">
        <f t="shared" si="74"/>
        <v>0</v>
      </c>
      <c r="P60" s="24">
        <f t="shared" si="29"/>
        <v>0</v>
      </c>
      <c r="Q60" s="141" t="e">
        <f t="shared" si="30"/>
        <v>#DIV/0!</v>
      </c>
      <c r="R60" s="114" t="s">
        <v>203</v>
      </c>
      <c r="S60" s="27">
        <f t="shared" ref="S60:X60" si="77">+D24</f>
        <v>3877506311</v>
      </c>
      <c r="T60" s="27">
        <f t="shared" si="77"/>
        <v>628405009</v>
      </c>
      <c r="U60" s="27">
        <f t="shared" si="77"/>
        <v>734259744</v>
      </c>
      <c r="V60" s="27">
        <f t="shared" si="77"/>
        <v>548160771</v>
      </c>
      <c r="W60" s="27">
        <f t="shared" si="77"/>
        <v>445923180.19999999</v>
      </c>
      <c r="X60" s="115">
        <f t="shared" si="77"/>
        <v>3862426510.3600001</v>
      </c>
    </row>
    <row r="61" spans="2:24" x14ac:dyDescent="0.2">
      <c r="B61" s="93" t="s">
        <v>191</v>
      </c>
      <c r="C61" s="26">
        <f>+'BALANCES COMP'!AE61</f>
        <v>0</v>
      </c>
      <c r="D61" s="26">
        <f>+'BALANCES COMP'!AC61</f>
        <v>0</v>
      </c>
      <c r="E61" s="26">
        <f>+'BALANCES COMP'!AA61</f>
        <v>0</v>
      </c>
      <c r="F61" s="26">
        <f>+'BALANCES COMP'!Y61</f>
        <v>0</v>
      </c>
      <c r="G61" s="26">
        <f>+'BALANCES COMP'!W61</f>
        <v>0</v>
      </c>
      <c r="H61" s="26">
        <f>+'BALANCES COMP'!U61</f>
        <v>0</v>
      </c>
      <c r="I61" s="102">
        <f>+'BALANCES COMP'!S61</f>
        <v>0</v>
      </c>
      <c r="J61" s="24">
        <f t="shared" si="68"/>
        <v>0</v>
      </c>
      <c r="K61" s="24">
        <f t="shared" si="69"/>
        <v>0</v>
      </c>
      <c r="L61" s="24">
        <f t="shared" si="70"/>
        <v>0</v>
      </c>
      <c r="M61" s="24">
        <f t="shared" si="71"/>
        <v>0</v>
      </c>
      <c r="N61" s="24">
        <f t="shared" si="72"/>
        <v>0</v>
      </c>
      <c r="O61" s="24">
        <f t="shared" si="74"/>
        <v>0</v>
      </c>
      <c r="P61" s="24">
        <f t="shared" si="29"/>
        <v>0</v>
      </c>
      <c r="Q61" s="141" t="e">
        <f t="shared" si="30"/>
        <v>#DIV/0!</v>
      </c>
      <c r="R61" s="114" t="s">
        <v>204</v>
      </c>
      <c r="S61" s="27">
        <f t="shared" ref="S61:X61" si="78">+C24</f>
        <v>832274306</v>
      </c>
      <c r="T61" s="27">
        <f t="shared" si="78"/>
        <v>3877506311</v>
      </c>
      <c r="U61" s="27">
        <f t="shared" si="78"/>
        <v>628405009</v>
      </c>
      <c r="V61" s="27">
        <f t="shared" si="78"/>
        <v>734259744</v>
      </c>
      <c r="W61" s="27">
        <f t="shared" si="78"/>
        <v>548160771</v>
      </c>
      <c r="X61" s="115">
        <f t="shared" si="78"/>
        <v>445923180.19999999</v>
      </c>
    </row>
    <row r="62" spans="2:24" x14ac:dyDescent="0.2">
      <c r="B62" s="100" t="s">
        <v>169</v>
      </c>
      <c r="C62" s="21">
        <f>+'BALANCES COMP'!AE62</f>
        <v>71738998</v>
      </c>
      <c r="D62" s="21">
        <f>+'BALANCES COMP'!AC62</f>
        <v>71738998</v>
      </c>
      <c r="E62" s="21">
        <f>+'BALANCES COMP'!AA62</f>
        <v>0</v>
      </c>
      <c r="F62" s="21">
        <f>+'BALANCES COMP'!Y62</f>
        <v>0</v>
      </c>
      <c r="G62" s="21">
        <f>+'BALANCES COMP'!W62</f>
        <v>0</v>
      </c>
      <c r="H62" s="21">
        <f>+'BALANCES COMP'!U62</f>
        <v>0</v>
      </c>
      <c r="I62" s="132" t="str">
        <f>+'BALANCES COMP'!S62</f>
        <v xml:space="preserve"> </v>
      </c>
      <c r="J62" s="24">
        <f t="shared" si="68"/>
        <v>4.7078867571420198E-3</v>
      </c>
      <c r="K62" s="24">
        <f t="shared" si="69"/>
        <v>3.4644646815652509E-3</v>
      </c>
      <c r="L62" s="24">
        <f t="shared" si="70"/>
        <v>0</v>
      </c>
      <c r="M62" s="24">
        <f t="shared" si="71"/>
        <v>0</v>
      </c>
      <c r="N62" s="24">
        <f t="shared" si="72"/>
        <v>0</v>
      </c>
      <c r="O62" s="24">
        <f t="shared" si="74"/>
        <v>0</v>
      </c>
      <c r="P62" s="24" t="e">
        <f t="shared" si="29"/>
        <v>#VALUE!</v>
      </c>
      <c r="Q62" s="141" t="e">
        <f t="shared" si="30"/>
        <v>#VALUE!</v>
      </c>
      <c r="R62" s="116" t="s">
        <v>205</v>
      </c>
      <c r="S62" s="34">
        <f t="shared" ref="S62:X62" si="79">S60-S61</f>
        <v>3045232005</v>
      </c>
      <c r="T62" s="34">
        <f t="shared" si="79"/>
        <v>-3249101302</v>
      </c>
      <c r="U62" s="34">
        <f t="shared" si="79"/>
        <v>105854735</v>
      </c>
      <c r="V62" s="34">
        <f t="shared" si="79"/>
        <v>-186098973</v>
      </c>
      <c r="W62" s="34">
        <f t="shared" si="79"/>
        <v>-102237590.80000001</v>
      </c>
      <c r="X62" s="117">
        <f t="shared" si="79"/>
        <v>3416503330.1600003</v>
      </c>
    </row>
    <row r="63" spans="2:24" x14ac:dyDescent="0.2">
      <c r="B63" s="94" t="s">
        <v>170</v>
      </c>
      <c r="C63" s="25">
        <f t="shared" ref="C63:H63" si="80">SUM(C57:C62)</f>
        <v>15238046644</v>
      </c>
      <c r="D63" s="25">
        <f t="shared" si="80"/>
        <v>20707094629</v>
      </c>
      <c r="E63" s="25">
        <f t="shared" si="80"/>
        <v>46550149978</v>
      </c>
      <c r="F63" s="25">
        <f t="shared" si="80"/>
        <v>48866380759</v>
      </c>
      <c r="G63" s="25">
        <f t="shared" si="80"/>
        <v>62699333739</v>
      </c>
      <c r="H63" s="25">
        <f t="shared" si="80"/>
        <v>74075537964</v>
      </c>
      <c r="I63" s="95">
        <f>SUM(I57:I62)</f>
        <v>99630421215.080017</v>
      </c>
      <c r="J63" s="106">
        <f t="shared" si="68"/>
        <v>1</v>
      </c>
      <c r="K63" s="106">
        <f t="shared" si="69"/>
        <v>1</v>
      </c>
      <c r="L63" s="106">
        <f t="shared" si="70"/>
        <v>1</v>
      </c>
      <c r="M63" s="106">
        <f t="shared" si="71"/>
        <v>1</v>
      </c>
      <c r="N63" s="106">
        <f t="shared" si="72"/>
        <v>1</v>
      </c>
      <c r="O63" s="106">
        <f t="shared" si="74"/>
        <v>1</v>
      </c>
      <c r="P63" s="106">
        <f t="shared" si="29"/>
        <v>0.93319013114155247</v>
      </c>
      <c r="Q63" s="141">
        <f t="shared" si="30"/>
        <v>0.34498410613635294</v>
      </c>
      <c r="R63" s="133"/>
      <c r="X63" s="132"/>
    </row>
    <row r="64" spans="2:24" x14ac:dyDescent="0.2">
      <c r="B64" s="94" t="s">
        <v>171</v>
      </c>
      <c r="C64" s="25">
        <f t="shared" ref="C64:H64" si="81">C55+C63</f>
        <v>19405403664</v>
      </c>
      <c r="D64" s="25">
        <f t="shared" si="81"/>
        <v>28301772859</v>
      </c>
      <c r="E64" s="25">
        <f t="shared" si="81"/>
        <v>51955687995</v>
      </c>
      <c r="F64" s="25">
        <f t="shared" si="81"/>
        <v>53701212852</v>
      </c>
      <c r="G64" s="25">
        <f t="shared" si="81"/>
        <v>66547895066</v>
      </c>
      <c r="H64" s="25">
        <f t="shared" si="81"/>
        <v>79252393760</v>
      </c>
      <c r="I64" s="95">
        <f>I55+I63</f>
        <v>106763260658.84001</v>
      </c>
      <c r="J64" s="25"/>
      <c r="K64" s="25"/>
      <c r="L64" s="25"/>
      <c r="M64" s="106"/>
      <c r="N64" s="106"/>
      <c r="O64" s="106"/>
      <c r="P64" s="106"/>
      <c r="Q64" s="141">
        <f t="shared" si="30"/>
        <v>0.34712979121048587</v>
      </c>
      <c r="R64" s="133"/>
      <c r="X64" s="132"/>
    </row>
    <row r="65" spans="2:24" ht="13.5" thickBot="1" x14ac:dyDescent="0.25">
      <c r="B65" s="108"/>
      <c r="C65" s="103">
        <f t="shared" ref="C65:H65" si="82">IF(+C45-C64&lt;&gt;0,"  No cuadra",0)</f>
        <v>0</v>
      </c>
      <c r="D65" s="103">
        <f t="shared" si="82"/>
        <v>0</v>
      </c>
      <c r="E65" s="103">
        <f t="shared" si="82"/>
        <v>0</v>
      </c>
      <c r="F65" s="104">
        <f t="shared" si="82"/>
        <v>0</v>
      </c>
      <c r="G65" s="104">
        <f t="shared" si="82"/>
        <v>0</v>
      </c>
      <c r="H65" s="104">
        <f t="shared" si="82"/>
        <v>0</v>
      </c>
      <c r="I65" s="105" t="str">
        <f>IF(+I45-I64&lt;&gt;0,"  No cuadra",0)</f>
        <v xml:space="preserve">  No cuadra</v>
      </c>
      <c r="J65" s="104"/>
      <c r="K65" s="104"/>
      <c r="L65" s="104"/>
      <c r="M65" s="109"/>
      <c r="N65" s="110"/>
      <c r="O65" s="110"/>
      <c r="P65" s="110"/>
      <c r="Q65" s="148"/>
      <c r="R65" s="108"/>
      <c r="S65" s="104"/>
      <c r="T65" s="104"/>
      <c r="U65" s="104"/>
      <c r="V65" s="104"/>
      <c r="W65" s="104"/>
      <c r="X65" s="105"/>
    </row>
    <row r="66" spans="2:24" x14ac:dyDescent="0.2">
      <c r="C66" s="26">
        <f t="shared" ref="C66:H66" si="83">+C45-C64</f>
        <v>0</v>
      </c>
      <c r="D66" s="26">
        <f t="shared" si="83"/>
        <v>0</v>
      </c>
      <c r="E66" s="26">
        <f t="shared" si="83"/>
        <v>0</v>
      </c>
      <c r="F66" s="26">
        <f t="shared" si="83"/>
        <v>0</v>
      </c>
      <c r="G66" s="26">
        <f t="shared" si="83"/>
        <v>0</v>
      </c>
      <c r="H66" s="26">
        <f t="shared" si="83"/>
        <v>0</v>
      </c>
      <c r="I66" s="26"/>
      <c r="J66" s="26"/>
      <c r="K66" s="26"/>
      <c r="L66" s="26"/>
    </row>
    <row r="67" spans="2:24" x14ac:dyDescent="0.2">
      <c r="B67" s="15"/>
      <c r="C67" s="15"/>
      <c r="D67" s="15"/>
      <c r="E67" s="16"/>
      <c r="F67" s="134"/>
    </row>
    <row r="68" spans="2:24" x14ac:dyDescent="0.2">
      <c r="B68" s="12"/>
      <c r="C68" s="12"/>
      <c r="D68" s="12"/>
      <c r="F68" s="26"/>
    </row>
    <row r="69" spans="2:24" x14ac:dyDescent="0.2">
      <c r="B69" s="16"/>
      <c r="C69" s="16"/>
      <c r="D69" s="16"/>
      <c r="G69" s="24"/>
      <c r="H69" s="24"/>
      <c r="I69" s="24"/>
      <c r="J69" s="24"/>
      <c r="K69" s="24"/>
      <c r="L69" s="24"/>
    </row>
    <row r="70" spans="2:24" x14ac:dyDescent="0.2">
      <c r="B70" s="13"/>
      <c r="C70" s="13"/>
      <c r="D70" s="13"/>
      <c r="G70" s="24"/>
      <c r="H70" s="24"/>
      <c r="I70" s="24"/>
      <c r="J70" s="24"/>
      <c r="K70" s="24"/>
      <c r="L70" s="24"/>
      <c r="R70" s="23"/>
      <c r="S70" s="23"/>
      <c r="T70" s="23"/>
      <c r="U70" s="129"/>
    </row>
    <row r="71" spans="2:24" x14ac:dyDescent="0.2">
      <c r="B71" s="17"/>
      <c r="C71" s="17"/>
      <c r="D71" s="17"/>
      <c r="G71" s="25"/>
      <c r="H71" s="25"/>
      <c r="I71" s="25"/>
      <c r="J71" s="25"/>
      <c r="K71" s="25"/>
      <c r="L71" s="25"/>
    </row>
    <row r="72" spans="2:24" x14ac:dyDescent="0.2">
      <c r="B72" s="17"/>
      <c r="C72" s="17"/>
      <c r="D72" s="17"/>
      <c r="G72" s="24"/>
      <c r="H72" s="24"/>
      <c r="I72" s="24"/>
      <c r="J72" s="24"/>
      <c r="K72" s="24"/>
      <c r="L72" s="24"/>
      <c r="M72" s="24"/>
      <c r="N72" s="24"/>
      <c r="O72" s="24"/>
      <c r="P72" s="24"/>
    </row>
    <row r="73" spans="2:24" x14ac:dyDescent="0.2">
      <c r="B73" s="13"/>
      <c r="C73" s="13"/>
      <c r="D73" s="13"/>
      <c r="G73" s="26"/>
      <c r="H73" s="26"/>
      <c r="I73" s="26"/>
      <c r="J73" s="26"/>
      <c r="K73" s="26"/>
      <c r="L73" s="26"/>
    </row>
    <row r="74" spans="2:24" x14ac:dyDescent="0.2">
      <c r="B74" s="16"/>
      <c r="C74" s="16"/>
      <c r="D74" s="16"/>
      <c r="G74" s="24"/>
      <c r="H74" s="24"/>
      <c r="I74" s="24"/>
      <c r="J74" s="24"/>
      <c r="K74" s="24"/>
      <c r="L74" s="24"/>
    </row>
    <row r="75" spans="2:24" x14ac:dyDescent="0.2">
      <c r="B75" s="16"/>
      <c r="C75" s="16"/>
      <c r="D75" s="16"/>
      <c r="G75" s="24"/>
      <c r="H75" s="24"/>
      <c r="I75" s="24"/>
      <c r="J75" s="24"/>
      <c r="K75" s="24"/>
      <c r="L75" s="24"/>
    </row>
    <row r="76" spans="2:24" x14ac:dyDescent="0.2">
      <c r="B76" s="16"/>
      <c r="C76" s="16"/>
      <c r="D76" s="16"/>
    </row>
    <row r="77" spans="2:24" x14ac:dyDescent="0.2">
      <c r="B77" s="16"/>
      <c r="C77" s="16"/>
      <c r="D77" s="16"/>
    </row>
    <row r="78" spans="2:24" x14ac:dyDescent="0.2">
      <c r="B78" s="16"/>
      <c r="C78" s="16"/>
      <c r="D78" s="16"/>
      <c r="G78" s="24"/>
      <c r="H78" s="24"/>
      <c r="I78" s="24"/>
      <c r="J78" s="24"/>
      <c r="K78" s="24"/>
      <c r="L78" s="24"/>
    </row>
    <row r="79" spans="2:24" x14ac:dyDescent="0.2">
      <c r="N79" s="28"/>
      <c r="O79" s="28"/>
      <c r="P79" s="28"/>
      <c r="R79" s="18"/>
      <c r="S79" s="18"/>
      <c r="T79" s="18"/>
      <c r="U79" s="18"/>
    </row>
    <row r="80" spans="2:24" x14ac:dyDescent="0.2">
      <c r="B80" s="16"/>
      <c r="C80" s="16"/>
      <c r="D80" s="16"/>
      <c r="N80" s="28"/>
      <c r="O80" s="28"/>
      <c r="P80" s="28"/>
      <c r="R80" s="19"/>
      <c r="S80" s="19"/>
      <c r="T80" s="19"/>
    </row>
    <row r="81" spans="2:22" x14ac:dyDescent="0.2">
      <c r="B81" s="16"/>
      <c r="C81" s="16"/>
      <c r="D81" s="16"/>
      <c r="G81" s="24"/>
      <c r="H81" s="24"/>
      <c r="I81" s="24"/>
      <c r="J81" s="24"/>
      <c r="K81" s="24"/>
      <c r="L81" s="24"/>
      <c r="N81" s="28"/>
      <c r="O81" s="28"/>
      <c r="P81" s="28"/>
      <c r="R81" s="20"/>
      <c r="S81" s="20"/>
      <c r="T81" s="20"/>
    </row>
    <row r="82" spans="2:22" x14ac:dyDescent="0.2">
      <c r="B82" s="16"/>
      <c r="C82" s="16"/>
      <c r="D82" s="16"/>
      <c r="G82" s="28"/>
      <c r="H82" s="28"/>
      <c r="I82" s="28"/>
      <c r="J82" s="28"/>
      <c r="K82" s="28"/>
      <c r="L82" s="28"/>
      <c r="N82" s="28"/>
      <c r="O82" s="28"/>
      <c r="P82" s="28"/>
      <c r="R82" s="20"/>
      <c r="S82" s="20"/>
      <c r="T82" s="20"/>
    </row>
    <row r="83" spans="2:22" x14ac:dyDescent="0.2">
      <c r="B83" s="16"/>
      <c r="C83" s="16"/>
      <c r="D83" s="16"/>
      <c r="G83" s="24"/>
      <c r="H83" s="24"/>
      <c r="I83" s="24"/>
      <c r="J83" s="24"/>
      <c r="K83" s="24"/>
      <c r="L83" s="24"/>
      <c r="R83" s="20"/>
      <c r="S83" s="20"/>
      <c r="T83" s="20"/>
    </row>
    <row r="84" spans="2:22" x14ac:dyDescent="0.2">
      <c r="B84" s="16"/>
      <c r="C84" s="16"/>
      <c r="D84" s="16"/>
      <c r="G84" s="28"/>
      <c r="H84" s="28"/>
      <c r="I84" s="28"/>
      <c r="J84" s="28"/>
      <c r="K84" s="28"/>
      <c r="L84" s="28"/>
      <c r="M84" s="29"/>
      <c r="N84" s="16"/>
      <c r="O84" s="16"/>
      <c r="P84" s="16"/>
      <c r="R84" s="20"/>
      <c r="S84" s="20"/>
      <c r="T84" s="20"/>
    </row>
    <row r="85" spans="2:22" x14ac:dyDescent="0.2">
      <c r="B85" s="16"/>
      <c r="C85" s="16"/>
      <c r="D85" s="16"/>
      <c r="R85" s="20"/>
      <c r="S85" s="20"/>
      <c r="T85" s="20"/>
    </row>
    <row r="86" spans="2:22" x14ac:dyDescent="0.2">
      <c r="B86" s="16"/>
      <c r="C86" s="16"/>
      <c r="D86" s="16"/>
      <c r="G86" s="28"/>
      <c r="H86" s="28"/>
      <c r="I86" s="28"/>
      <c r="J86" s="28"/>
      <c r="K86" s="28"/>
      <c r="L86" s="28"/>
      <c r="M86" s="12"/>
      <c r="N86" s="16"/>
      <c r="O86" s="16"/>
      <c r="P86" s="16"/>
    </row>
    <row r="87" spans="2:22" x14ac:dyDescent="0.2">
      <c r="B87" s="16"/>
      <c r="C87" s="16"/>
      <c r="D87" s="16"/>
      <c r="R87" s="20"/>
      <c r="S87" s="20"/>
      <c r="T87" s="20"/>
    </row>
    <row r="88" spans="2:22" x14ac:dyDescent="0.2">
      <c r="B88" s="16"/>
      <c r="C88" s="16"/>
      <c r="D88" s="16"/>
      <c r="R88" s="20"/>
      <c r="S88" s="20"/>
      <c r="T88" s="20"/>
    </row>
    <row r="89" spans="2:22" x14ac:dyDescent="0.2">
      <c r="B89" s="16"/>
      <c r="C89" s="16"/>
      <c r="D89" s="16"/>
      <c r="G89" s="24"/>
      <c r="H89" s="24"/>
      <c r="I89" s="24"/>
      <c r="J89" s="24"/>
      <c r="K89" s="24"/>
      <c r="L89" s="24"/>
      <c r="R89" s="20"/>
      <c r="S89" s="20"/>
      <c r="T89" s="20"/>
    </row>
    <row r="90" spans="2:22" x14ac:dyDescent="0.2">
      <c r="R90" s="20"/>
      <c r="S90" s="20"/>
      <c r="T90" s="20"/>
    </row>
    <row r="91" spans="2:22" x14ac:dyDescent="0.2">
      <c r="B91" s="13"/>
      <c r="C91" s="13"/>
      <c r="D91" s="13"/>
      <c r="F91" s="30"/>
      <c r="G91" s="31"/>
      <c r="H91" s="31"/>
      <c r="I91" s="31"/>
      <c r="J91" s="31"/>
      <c r="K91" s="31"/>
      <c r="L91" s="31"/>
      <c r="M91" s="18"/>
      <c r="N91" s="18"/>
      <c r="O91" s="18"/>
      <c r="P91" s="18"/>
      <c r="Q91" s="18"/>
      <c r="R91" s="20"/>
      <c r="S91" s="20"/>
      <c r="T91" s="20"/>
    </row>
    <row r="92" spans="2:22" x14ac:dyDescent="0.2">
      <c r="B92" s="19"/>
      <c r="C92" s="19"/>
      <c r="D92" s="19"/>
      <c r="E92" s="19"/>
      <c r="F92" s="19"/>
      <c r="G92" s="19"/>
      <c r="H92" s="19"/>
      <c r="I92" s="19"/>
      <c r="J92" s="19"/>
      <c r="K92" s="19"/>
      <c r="L92" s="19"/>
      <c r="M92" s="19"/>
      <c r="N92" s="19"/>
      <c r="O92" s="19"/>
      <c r="P92" s="19"/>
      <c r="Q92" s="19"/>
      <c r="R92" s="20"/>
      <c r="S92" s="20"/>
      <c r="T92" s="20"/>
    </row>
    <row r="93" spans="2:22" x14ac:dyDescent="0.2">
      <c r="B93" s="16"/>
      <c r="C93" s="16"/>
      <c r="D93" s="16"/>
      <c r="G93" s="20"/>
      <c r="H93" s="20"/>
      <c r="I93" s="20"/>
      <c r="J93" s="20"/>
      <c r="K93" s="20"/>
      <c r="L93" s="20"/>
      <c r="Q93" s="20"/>
      <c r="R93" s="20"/>
      <c r="S93" s="20"/>
      <c r="T93" s="20"/>
    </row>
    <row r="94" spans="2:22" x14ac:dyDescent="0.2">
      <c r="B94" s="16"/>
      <c r="C94" s="16"/>
      <c r="D94" s="16"/>
      <c r="G94" s="20"/>
      <c r="H94" s="20"/>
      <c r="I94" s="20"/>
      <c r="J94" s="20"/>
      <c r="K94" s="20"/>
      <c r="L94" s="20"/>
      <c r="Q94" s="20"/>
    </row>
    <row r="95" spans="2:22" x14ac:dyDescent="0.2">
      <c r="B95" s="16"/>
      <c r="C95" s="16"/>
      <c r="D95" s="16"/>
      <c r="G95" s="20"/>
      <c r="H95" s="20"/>
      <c r="I95" s="20"/>
      <c r="J95" s="20"/>
      <c r="K95" s="20"/>
      <c r="L95" s="20"/>
      <c r="Q95" s="20"/>
      <c r="V95" s="22"/>
    </row>
    <row r="96" spans="2:22" x14ac:dyDescent="0.2">
      <c r="B96" s="16"/>
      <c r="C96" s="16"/>
      <c r="D96" s="16"/>
      <c r="G96" s="20"/>
      <c r="H96" s="20"/>
      <c r="I96" s="20"/>
      <c r="J96" s="20"/>
      <c r="K96" s="20"/>
      <c r="L96" s="20"/>
      <c r="Q96" s="20"/>
    </row>
    <row r="97" spans="1:23" x14ac:dyDescent="0.2">
      <c r="B97" s="16"/>
      <c r="C97" s="16"/>
      <c r="D97" s="16"/>
      <c r="G97" s="20"/>
      <c r="H97" s="20"/>
      <c r="I97" s="20"/>
      <c r="J97" s="20"/>
      <c r="K97" s="20"/>
      <c r="L97" s="20"/>
      <c r="Q97" s="20"/>
    </row>
    <row r="98" spans="1:23" x14ac:dyDescent="0.2">
      <c r="B98" s="16"/>
      <c r="C98" s="16"/>
      <c r="D98" s="16"/>
      <c r="G98" s="20"/>
      <c r="H98" s="20"/>
      <c r="I98" s="20"/>
      <c r="J98" s="20"/>
      <c r="K98" s="20"/>
      <c r="L98" s="20"/>
      <c r="Q98" s="20"/>
    </row>
    <row r="99" spans="1:23" x14ac:dyDescent="0.2">
      <c r="B99" s="16"/>
      <c r="C99" s="16"/>
      <c r="D99" s="16"/>
      <c r="G99" s="20"/>
      <c r="H99" s="20"/>
      <c r="I99" s="20"/>
      <c r="J99" s="20"/>
      <c r="K99" s="20"/>
      <c r="L99" s="20"/>
      <c r="Q99" s="20"/>
      <c r="W99" s="32"/>
    </row>
    <row r="100" spans="1:23" x14ac:dyDescent="0.2">
      <c r="B100" s="16"/>
      <c r="C100" s="16"/>
      <c r="D100" s="16"/>
      <c r="G100" s="20"/>
      <c r="H100" s="20"/>
      <c r="I100" s="20"/>
      <c r="J100" s="20"/>
      <c r="K100" s="20"/>
      <c r="L100" s="20"/>
      <c r="Q100" s="20"/>
    </row>
    <row r="101" spans="1:23" x14ac:dyDescent="0.2">
      <c r="B101" s="16"/>
      <c r="C101" s="16"/>
      <c r="D101" s="16"/>
      <c r="G101" s="20"/>
      <c r="H101" s="20"/>
      <c r="I101" s="20"/>
      <c r="J101" s="20"/>
      <c r="K101" s="20"/>
      <c r="L101" s="20"/>
      <c r="Q101" s="20"/>
    </row>
    <row r="102" spans="1:23" x14ac:dyDescent="0.2">
      <c r="B102" s="16"/>
      <c r="C102" s="16"/>
      <c r="D102" s="16"/>
      <c r="G102" s="20"/>
      <c r="H102" s="20"/>
      <c r="I102" s="20"/>
      <c r="J102" s="20"/>
      <c r="K102" s="20"/>
      <c r="L102" s="20"/>
      <c r="Q102" s="20"/>
    </row>
    <row r="103" spans="1:23" x14ac:dyDescent="0.2">
      <c r="A103" s="16"/>
      <c r="B103" s="16"/>
      <c r="C103" s="16"/>
      <c r="D103" s="16"/>
      <c r="G103" s="20"/>
      <c r="H103" s="20"/>
      <c r="I103" s="20"/>
      <c r="J103" s="20"/>
      <c r="K103" s="20"/>
      <c r="L103" s="20"/>
      <c r="Q103" s="20"/>
    </row>
    <row r="104" spans="1:23" x14ac:dyDescent="0.2">
      <c r="B104" s="16"/>
      <c r="C104" s="16"/>
      <c r="D104" s="16"/>
      <c r="F104" s="26"/>
      <c r="G104" s="20"/>
      <c r="H104" s="20"/>
      <c r="I104" s="20"/>
      <c r="J104" s="20"/>
      <c r="K104" s="20"/>
      <c r="L104" s="20"/>
      <c r="M104" s="26"/>
      <c r="N104" s="26"/>
      <c r="O104" s="26"/>
      <c r="P104" s="26"/>
      <c r="Q104" s="20"/>
    </row>
    <row r="106" spans="1:23" x14ac:dyDescent="0.2">
      <c r="A106" s="12"/>
      <c r="Q106" s="16"/>
    </row>
    <row r="107" spans="1:23" x14ac:dyDescent="0.2">
      <c r="A107" s="12"/>
      <c r="B107" s="16"/>
      <c r="C107" s="16"/>
      <c r="D107" s="16"/>
    </row>
    <row r="108" spans="1:23" x14ac:dyDescent="0.2">
      <c r="A108" s="12"/>
      <c r="F108" s="30"/>
      <c r="G108" s="30"/>
      <c r="H108" s="30"/>
      <c r="I108" s="30"/>
      <c r="J108" s="30"/>
      <c r="K108" s="30"/>
      <c r="L108" s="30"/>
      <c r="M108" s="30"/>
      <c r="N108" s="12"/>
      <c r="O108" s="12"/>
      <c r="P108" s="12"/>
      <c r="Q108" s="16"/>
    </row>
    <row r="109" spans="1:23" x14ac:dyDescent="0.2">
      <c r="A109" s="12"/>
      <c r="B109" s="16"/>
      <c r="C109" s="16"/>
      <c r="D109" s="16"/>
      <c r="Q109" s="16"/>
      <c r="R109" s="22"/>
      <c r="S109" s="22"/>
      <c r="T109" s="22"/>
      <c r="V109" s="24"/>
    </row>
    <row r="110" spans="1:23" x14ac:dyDescent="0.2">
      <c r="A110" s="12"/>
      <c r="B110" s="16"/>
      <c r="C110" s="16"/>
      <c r="D110" s="16"/>
      <c r="N110" s="12"/>
      <c r="O110" s="12"/>
      <c r="P110" s="12"/>
      <c r="Q110" s="16"/>
      <c r="R110" s="22"/>
      <c r="S110" s="22"/>
      <c r="T110" s="22"/>
      <c r="V110" s="24"/>
    </row>
    <row r="111" spans="1:23" x14ac:dyDescent="0.2">
      <c r="A111" s="12"/>
      <c r="B111" s="19"/>
      <c r="C111" s="19"/>
      <c r="D111" s="19"/>
      <c r="E111" s="19"/>
      <c r="F111" s="19"/>
      <c r="G111" s="19"/>
      <c r="H111" s="19"/>
      <c r="I111" s="19"/>
      <c r="J111" s="19"/>
      <c r="K111" s="19"/>
      <c r="L111" s="19"/>
      <c r="M111" s="19"/>
      <c r="N111" s="12"/>
      <c r="O111" s="12"/>
      <c r="P111" s="12"/>
      <c r="Q111" s="16"/>
    </row>
    <row r="112" spans="1:23" x14ac:dyDescent="0.2">
      <c r="A112" s="12"/>
      <c r="B112" s="16"/>
      <c r="C112" s="16"/>
      <c r="D112" s="16"/>
      <c r="N112" s="12"/>
      <c r="O112" s="12"/>
      <c r="P112" s="12"/>
      <c r="Q112" s="16"/>
    </row>
    <row r="113" spans="1:23" x14ac:dyDescent="0.2">
      <c r="A113" s="12"/>
      <c r="B113" s="16"/>
      <c r="C113" s="16"/>
      <c r="D113" s="16"/>
      <c r="N113" s="12"/>
      <c r="O113" s="12"/>
      <c r="P113" s="12"/>
      <c r="Q113" s="16"/>
      <c r="R113" s="16"/>
      <c r="S113" s="16"/>
      <c r="T113" s="16"/>
    </row>
    <row r="114" spans="1:23" x14ac:dyDescent="0.2">
      <c r="C114" s="21">
        <v>2017</v>
      </c>
      <c r="D114" s="21">
        <v>2018</v>
      </c>
      <c r="E114" s="21">
        <v>2019</v>
      </c>
      <c r="F114" s="21">
        <v>2020</v>
      </c>
      <c r="G114" s="21">
        <v>2021</v>
      </c>
      <c r="H114" s="21">
        <v>2022</v>
      </c>
      <c r="I114" s="21">
        <v>2023</v>
      </c>
      <c r="N114" s="33"/>
      <c r="O114" s="33"/>
      <c r="P114" s="33"/>
      <c r="Q114" s="16"/>
      <c r="R114" s="19"/>
      <c r="S114" s="19"/>
      <c r="T114" s="19"/>
      <c r="U114" s="19"/>
      <c r="V114" s="19"/>
    </row>
    <row r="115" spans="1:23" x14ac:dyDescent="0.2">
      <c r="A115" s="12"/>
      <c r="B115" s="16" t="s">
        <v>7</v>
      </c>
      <c r="C115" s="166">
        <f>+C45</f>
        <v>19405403664</v>
      </c>
      <c r="D115" s="166">
        <f t="shared" ref="D115:I115" si="84">+D45</f>
        <v>28301772859</v>
      </c>
      <c r="E115" s="166">
        <f t="shared" si="84"/>
        <v>51955687995</v>
      </c>
      <c r="F115" s="166">
        <f t="shared" si="84"/>
        <v>53701212852</v>
      </c>
      <c r="G115" s="166">
        <f t="shared" si="84"/>
        <v>66547895066</v>
      </c>
      <c r="H115" s="166">
        <f t="shared" si="84"/>
        <v>79252393760</v>
      </c>
      <c r="I115" s="166">
        <f t="shared" si="84"/>
        <v>106763260658.58</v>
      </c>
      <c r="N115" s="12"/>
      <c r="O115" s="12"/>
      <c r="P115" s="12"/>
      <c r="Q115" s="16"/>
    </row>
    <row r="116" spans="1:23" x14ac:dyDescent="0.2">
      <c r="B116" s="13" t="s">
        <v>8</v>
      </c>
      <c r="C116" s="166">
        <f>+C55</f>
        <v>4167357020</v>
      </c>
      <c r="D116" s="166">
        <f t="shared" ref="D116:I116" si="85">+D55</f>
        <v>7594678230</v>
      </c>
      <c r="E116" s="166">
        <f t="shared" si="85"/>
        <v>5405538017</v>
      </c>
      <c r="F116" s="166">
        <f t="shared" si="85"/>
        <v>4834832093</v>
      </c>
      <c r="G116" s="166">
        <f t="shared" si="85"/>
        <v>3848561327</v>
      </c>
      <c r="H116" s="166">
        <f t="shared" si="85"/>
        <v>5176855796</v>
      </c>
      <c r="I116" s="166">
        <f t="shared" si="85"/>
        <v>7132839443.7600002</v>
      </c>
      <c r="N116" s="12"/>
      <c r="O116" s="12"/>
      <c r="P116" s="12"/>
      <c r="Q116" s="16"/>
    </row>
    <row r="117" spans="1:23" x14ac:dyDescent="0.2">
      <c r="B117" s="16" t="s">
        <v>165</v>
      </c>
      <c r="C117" s="166">
        <f>+C63</f>
        <v>15238046644</v>
      </c>
      <c r="D117" s="166">
        <f t="shared" ref="D117:I117" si="86">+D63</f>
        <v>20707094629</v>
      </c>
      <c r="E117" s="166">
        <f t="shared" si="86"/>
        <v>46550149978</v>
      </c>
      <c r="F117" s="166">
        <f t="shared" si="86"/>
        <v>48866380759</v>
      </c>
      <c r="G117" s="166">
        <f t="shared" si="86"/>
        <v>62699333739</v>
      </c>
      <c r="H117" s="166">
        <f t="shared" si="86"/>
        <v>74075537964</v>
      </c>
      <c r="I117" s="166">
        <f t="shared" si="86"/>
        <v>99630421215.080017</v>
      </c>
      <c r="N117" s="12"/>
      <c r="O117" s="12"/>
      <c r="P117" s="12"/>
      <c r="Q117" s="16"/>
    </row>
    <row r="118" spans="1:23" x14ac:dyDescent="0.2">
      <c r="A118" s="12"/>
      <c r="B118" s="19"/>
      <c r="C118" s="167"/>
      <c r="D118" s="167"/>
      <c r="E118" s="167"/>
      <c r="F118" s="167"/>
      <c r="G118" s="167"/>
      <c r="H118" s="167"/>
      <c r="I118" s="167"/>
      <c r="J118" s="19"/>
      <c r="K118" s="19"/>
      <c r="L118" s="19"/>
      <c r="M118" s="19"/>
      <c r="N118" s="12"/>
      <c r="O118" s="12"/>
      <c r="P118" s="12"/>
      <c r="Q118" s="16"/>
      <c r="W118" s="19"/>
    </row>
    <row r="119" spans="1:23" x14ac:dyDescent="0.2">
      <c r="A119" s="12"/>
      <c r="B119" s="16"/>
      <c r="C119" s="21">
        <v>2017</v>
      </c>
      <c r="D119" s="21">
        <v>2018</v>
      </c>
      <c r="E119" s="21">
        <v>2019</v>
      </c>
      <c r="F119" s="21">
        <v>2020</v>
      </c>
      <c r="G119" s="21">
        <v>2021</v>
      </c>
      <c r="H119" s="21">
        <v>2022</v>
      </c>
      <c r="I119" s="21">
        <v>2023</v>
      </c>
      <c r="N119" s="33"/>
      <c r="O119" s="33"/>
      <c r="P119" s="33"/>
    </row>
    <row r="120" spans="1:23" x14ac:dyDescent="0.2">
      <c r="B120" s="21" t="s">
        <v>368</v>
      </c>
      <c r="C120" s="168">
        <f>+C11+C12+C19</f>
        <v>11860540407</v>
      </c>
      <c r="D120" s="168">
        <f t="shared" ref="D120:I120" si="87">+D11+D12+D19</f>
        <v>18119757265</v>
      </c>
      <c r="E120" s="168">
        <f t="shared" si="87"/>
        <v>41813400657</v>
      </c>
      <c r="F120" s="168">
        <f t="shared" si="87"/>
        <v>19739544392</v>
      </c>
      <c r="G120" s="168">
        <f t="shared" si="87"/>
        <v>38836320744</v>
      </c>
      <c r="H120" s="168">
        <f t="shared" si="87"/>
        <v>52137426360.580002</v>
      </c>
      <c r="I120" s="168">
        <f t="shared" si="87"/>
        <v>51070419234.379997</v>
      </c>
      <c r="N120" s="33"/>
      <c r="O120" s="33"/>
      <c r="P120" s="33"/>
    </row>
    <row r="121" spans="1:23" x14ac:dyDescent="0.2">
      <c r="A121" s="12"/>
      <c r="B121" s="16" t="s">
        <v>369</v>
      </c>
      <c r="C121" s="166">
        <f>+C13+C15+C17+C18</f>
        <v>12658329982</v>
      </c>
      <c r="D121" s="166">
        <f t="shared" ref="D121:I121" si="88">+D13+D15+D17+D18</f>
        <v>12746617161</v>
      </c>
      <c r="E121" s="166">
        <f t="shared" si="88"/>
        <v>18171565400</v>
      </c>
      <c r="F121" s="166">
        <f t="shared" si="88"/>
        <v>17243815026</v>
      </c>
      <c r="G121" s="166">
        <f t="shared" si="88"/>
        <v>25514638240</v>
      </c>
      <c r="H121" s="166">
        <f t="shared" si="88"/>
        <v>40522626296.580002</v>
      </c>
      <c r="I121" s="166">
        <f t="shared" si="88"/>
        <v>31852321062.559998</v>
      </c>
      <c r="N121" s="33"/>
      <c r="O121" s="33"/>
      <c r="P121" s="33"/>
    </row>
    <row r="122" spans="1:23" x14ac:dyDescent="0.2">
      <c r="A122" s="12"/>
      <c r="B122" s="16"/>
      <c r="C122" s="16"/>
      <c r="D122" s="16"/>
    </row>
    <row r="123" spans="1:23" x14ac:dyDescent="0.2">
      <c r="A123" s="12"/>
      <c r="B123" s="16"/>
      <c r="C123" s="16"/>
      <c r="D123" s="16"/>
    </row>
    <row r="124" spans="1:23" x14ac:dyDescent="0.2">
      <c r="A124" s="12"/>
      <c r="B124" s="21" t="s">
        <v>370</v>
      </c>
      <c r="C124" s="21">
        <v>2017</v>
      </c>
      <c r="D124" s="21">
        <v>2018</v>
      </c>
      <c r="E124" s="21">
        <v>2019</v>
      </c>
      <c r="F124" s="21">
        <v>2020</v>
      </c>
      <c r="G124" s="21">
        <v>2021</v>
      </c>
      <c r="H124" s="21">
        <v>2022</v>
      </c>
      <c r="I124" s="21">
        <v>2023</v>
      </c>
    </row>
    <row r="125" spans="1:23" x14ac:dyDescent="0.2">
      <c r="A125" s="12"/>
      <c r="B125" s="19" t="s">
        <v>371</v>
      </c>
      <c r="C125" s="166">
        <f>+C24</f>
        <v>832274306</v>
      </c>
      <c r="D125" s="166">
        <f t="shared" ref="D125:I126" si="89">+D24</f>
        <v>3877506311</v>
      </c>
      <c r="E125" s="166">
        <f t="shared" si="89"/>
        <v>628405009</v>
      </c>
      <c r="F125" s="166">
        <f t="shared" si="89"/>
        <v>734259744</v>
      </c>
      <c r="G125" s="166">
        <f t="shared" si="89"/>
        <v>548160771</v>
      </c>
      <c r="H125" s="166">
        <f t="shared" si="89"/>
        <v>445923180.19999999</v>
      </c>
      <c r="I125" s="166">
        <f t="shared" si="89"/>
        <v>3862426510.3600001</v>
      </c>
      <c r="J125" s="19"/>
      <c r="K125" s="19"/>
      <c r="L125" s="19"/>
      <c r="M125" s="19"/>
      <c r="N125" s="19"/>
      <c r="O125" s="19"/>
      <c r="P125" s="19"/>
      <c r="Q125" s="19"/>
    </row>
    <row r="126" spans="1:23" x14ac:dyDescent="0.2">
      <c r="B126" s="21" t="s">
        <v>319</v>
      </c>
      <c r="C126" s="166">
        <f>+C25</f>
        <v>10191201812</v>
      </c>
      <c r="D126" s="166">
        <f t="shared" si="89"/>
        <v>11744065085</v>
      </c>
      <c r="E126" s="166">
        <f t="shared" si="89"/>
        <v>12266358947</v>
      </c>
      <c r="F126" s="166">
        <f t="shared" si="89"/>
        <v>14506278152</v>
      </c>
      <c r="G126" s="166">
        <f t="shared" si="89"/>
        <v>26725045933</v>
      </c>
      <c r="H126" s="166">
        <f t="shared" si="89"/>
        <v>36040454975</v>
      </c>
      <c r="I126" s="166">
        <f t="shared" si="89"/>
        <v>59239666662.599998</v>
      </c>
    </row>
    <row r="127" spans="1:23" x14ac:dyDescent="0.2">
      <c r="B127" s="21" t="s">
        <v>367</v>
      </c>
      <c r="C127" s="166">
        <f>+C26+C27</f>
        <v>122969373</v>
      </c>
      <c r="D127" s="166">
        <f t="shared" ref="D127:I127" si="90">+D26+D27</f>
        <v>207399881</v>
      </c>
      <c r="E127" s="166">
        <f t="shared" si="90"/>
        <v>226157394</v>
      </c>
      <c r="F127" s="166">
        <f t="shared" si="90"/>
        <v>444843676</v>
      </c>
      <c r="G127" s="166">
        <f t="shared" si="90"/>
        <v>1055331383</v>
      </c>
      <c r="H127" s="166">
        <f t="shared" si="90"/>
        <v>1600913091</v>
      </c>
      <c r="I127" s="166">
        <f t="shared" si="90"/>
        <v>3068569241.8200002</v>
      </c>
      <c r="J127" s="33"/>
      <c r="K127" s="33"/>
      <c r="L127" s="33"/>
      <c r="M127" s="33"/>
    </row>
    <row r="128" spans="1:23" x14ac:dyDescent="0.2">
      <c r="B128" s="33" t="s">
        <v>372</v>
      </c>
      <c r="C128" s="166">
        <f>+C28</f>
        <v>0</v>
      </c>
      <c r="D128" s="166">
        <f t="shared" ref="D128:I128" si="91">+D28</f>
        <v>0</v>
      </c>
      <c r="E128" s="166">
        <f t="shared" si="91"/>
        <v>0</v>
      </c>
      <c r="F128" s="166">
        <f t="shared" si="91"/>
        <v>0</v>
      </c>
      <c r="G128" s="166">
        <f t="shared" si="91"/>
        <v>0</v>
      </c>
      <c r="H128" s="166">
        <f t="shared" si="91"/>
        <v>0</v>
      </c>
      <c r="I128" s="166">
        <f t="shared" si="91"/>
        <v>0</v>
      </c>
      <c r="J128" s="33"/>
      <c r="K128" s="33"/>
      <c r="L128" s="33"/>
      <c r="M128" s="33"/>
    </row>
    <row r="129" spans="1:13" x14ac:dyDescent="0.2">
      <c r="A129" s="12"/>
      <c r="B129" s="33"/>
      <c r="C129" s="33"/>
      <c r="D129" s="33"/>
      <c r="E129" s="33"/>
      <c r="F129" s="33"/>
      <c r="G129" s="33"/>
      <c r="H129" s="33"/>
      <c r="I129" s="33"/>
      <c r="J129" s="33"/>
      <c r="K129" s="33"/>
      <c r="L129" s="33"/>
      <c r="M129" s="33"/>
    </row>
    <row r="130" spans="1:13" x14ac:dyDescent="0.2">
      <c r="A130" s="12"/>
      <c r="B130" s="33"/>
      <c r="C130" s="33"/>
      <c r="D130" s="33"/>
      <c r="E130" s="33"/>
      <c r="F130" s="33"/>
      <c r="G130" s="33"/>
      <c r="H130" s="33"/>
      <c r="I130" s="33"/>
      <c r="J130" s="33"/>
      <c r="K130" s="33"/>
      <c r="L130" s="33"/>
      <c r="M130" s="33"/>
    </row>
    <row r="131" spans="1:13" x14ac:dyDescent="0.2">
      <c r="A131" s="12"/>
      <c r="B131" s="21" t="s">
        <v>373</v>
      </c>
      <c r="C131" s="21">
        <v>2017</v>
      </c>
      <c r="D131" s="21">
        <v>2018</v>
      </c>
      <c r="E131" s="21">
        <v>2019</v>
      </c>
      <c r="F131" s="21">
        <v>2020</v>
      </c>
      <c r="G131" s="21">
        <v>2021</v>
      </c>
      <c r="H131" s="21">
        <v>2022</v>
      </c>
      <c r="I131" s="21">
        <v>2023</v>
      </c>
      <c r="J131" s="33"/>
      <c r="K131" s="33"/>
      <c r="L131" s="33"/>
      <c r="M131" s="33"/>
    </row>
    <row r="132" spans="1:13" x14ac:dyDescent="0.2">
      <c r="B132" s="21" t="s">
        <v>374</v>
      </c>
      <c r="C132" s="26">
        <f>+C24</f>
        <v>832274306</v>
      </c>
      <c r="D132" s="26">
        <f t="shared" ref="D132:I133" si="92">+D24</f>
        <v>3877506311</v>
      </c>
      <c r="E132" s="26">
        <f t="shared" si="92"/>
        <v>628405009</v>
      </c>
      <c r="F132" s="26">
        <f t="shared" si="92"/>
        <v>734259744</v>
      </c>
      <c r="G132" s="26">
        <f t="shared" si="92"/>
        <v>548160771</v>
      </c>
      <c r="H132" s="26">
        <f t="shared" si="92"/>
        <v>445923180.19999999</v>
      </c>
      <c r="I132" s="26">
        <f t="shared" si="92"/>
        <v>3862426510.3600001</v>
      </c>
      <c r="J132" s="33"/>
      <c r="K132" s="33"/>
      <c r="L132" s="33"/>
      <c r="M132" s="33"/>
    </row>
    <row r="133" spans="1:13" x14ac:dyDescent="0.2">
      <c r="B133" s="21" t="s">
        <v>319</v>
      </c>
      <c r="C133" s="26">
        <f>+C25</f>
        <v>10191201812</v>
      </c>
      <c r="D133" s="26">
        <f t="shared" si="92"/>
        <v>11744065085</v>
      </c>
      <c r="E133" s="26">
        <f t="shared" si="92"/>
        <v>12266358947</v>
      </c>
      <c r="F133" s="26">
        <f t="shared" si="92"/>
        <v>14506278152</v>
      </c>
      <c r="G133" s="26">
        <f t="shared" si="92"/>
        <v>26725045933</v>
      </c>
      <c r="H133" s="26">
        <f t="shared" si="92"/>
        <v>36040454975</v>
      </c>
      <c r="I133" s="26">
        <f t="shared" si="92"/>
        <v>59239666662.599998</v>
      </c>
      <c r="J133" s="12"/>
      <c r="K133" s="12"/>
      <c r="L133" s="12"/>
      <c r="M133" s="12"/>
    </row>
    <row r="134" spans="1:13" x14ac:dyDescent="0.2">
      <c r="B134" s="21" t="s">
        <v>375</v>
      </c>
      <c r="C134" s="26">
        <f>+C37</f>
        <v>8152929888</v>
      </c>
      <c r="D134" s="26">
        <f t="shared" ref="D134:I134" si="93">+D37</f>
        <v>11212294148</v>
      </c>
      <c r="E134" s="26">
        <f t="shared" si="93"/>
        <v>38789284828</v>
      </c>
      <c r="F134" s="26">
        <f t="shared" si="93"/>
        <v>37888817782</v>
      </c>
      <c r="G134" s="26">
        <f t="shared" si="93"/>
        <v>37829851780</v>
      </c>
      <c r="H134" s="26">
        <f t="shared" si="93"/>
        <v>40322465563.500008</v>
      </c>
      <c r="I134" s="26">
        <f t="shared" si="93"/>
        <v>39493481233.5</v>
      </c>
    </row>
    <row r="135" spans="1:13" x14ac:dyDescent="0.2">
      <c r="B135" s="21" t="s">
        <v>152</v>
      </c>
      <c r="C135" s="26">
        <f>+C45-C132-C133-C134</f>
        <v>228997658</v>
      </c>
      <c r="D135" s="26">
        <f t="shared" ref="D135:I135" si="94">+D45-D132-D133-D134</f>
        <v>1467907315</v>
      </c>
      <c r="E135" s="26">
        <f t="shared" si="94"/>
        <v>271639211</v>
      </c>
      <c r="F135" s="26">
        <f t="shared" si="94"/>
        <v>571857174</v>
      </c>
      <c r="G135" s="26">
        <f t="shared" si="94"/>
        <v>1444836582</v>
      </c>
      <c r="H135" s="26">
        <f t="shared" si="94"/>
        <v>2443550041.2999954</v>
      </c>
      <c r="I135" s="26">
        <f t="shared" si="94"/>
        <v>4167686252.1200027</v>
      </c>
    </row>
    <row r="136" spans="1:13" x14ac:dyDescent="0.2">
      <c r="A136" s="12"/>
      <c r="C136" s="26"/>
      <c r="D136" s="26"/>
      <c r="E136" s="26"/>
      <c r="F136" s="26"/>
      <c r="G136" s="26"/>
      <c r="H136" s="26"/>
      <c r="I136" s="26"/>
      <c r="J136" s="33"/>
      <c r="K136" s="33"/>
      <c r="L136" s="33"/>
      <c r="M136" s="33"/>
    </row>
    <row r="137" spans="1:13" x14ac:dyDescent="0.2">
      <c r="A137" s="12"/>
      <c r="E137" s="33"/>
      <c r="F137" s="33"/>
      <c r="G137" s="33"/>
      <c r="H137" s="33"/>
      <c r="I137" s="33"/>
      <c r="J137" s="33"/>
      <c r="K137" s="33"/>
      <c r="L137" s="33"/>
      <c r="M137" s="33"/>
    </row>
    <row r="138" spans="1:13" x14ac:dyDescent="0.2">
      <c r="A138" s="12"/>
      <c r="E138" s="33"/>
      <c r="F138" s="33"/>
      <c r="G138" s="33"/>
      <c r="H138" s="33"/>
      <c r="I138" s="33"/>
      <c r="J138" s="33"/>
      <c r="K138" s="33"/>
      <c r="L138" s="33"/>
      <c r="M138" s="33"/>
    </row>
    <row r="139" spans="1:13" x14ac:dyDescent="0.2">
      <c r="A139" s="12"/>
    </row>
    <row r="140" spans="1:13" x14ac:dyDescent="0.2">
      <c r="A140" s="12"/>
    </row>
    <row r="141" spans="1:13" x14ac:dyDescent="0.2">
      <c r="A141" s="12"/>
    </row>
    <row r="143" spans="1:13" x14ac:dyDescent="0.2">
      <c r="A143" s="12"/>
    </row>
    <row r="144" spans="1:13" x14ac:dyDescent="0.2">
      <c r="A144" s="12"/>
    </row>
    <row r="145" spans="1:1" x14ac:dyDescent="0.2">
      <c r="A145" s="12"/>
    </row>
    <row r="146" spans="1:1" x14ac:dyDescent="0.2">
      <c r="A146" s="12"/>
    </row>
    <row r="147" spans="1:1" x14ac:dyDescent="0.2">
      <c r="A147" s="12"/>
    </row>
    <row r="148" spans="1:1" x14ac:dyDescent="0.2">
      <c r="A148" s="12"/>
    </row>
    <row r="149" spans="1:1" x14ac:dyDescent="0.2">
      <c r="A149" s="12"/>
    </row>
    <row r="150" spans="1:1" x14ac:dyDescent="0.2">
      <c r="A150" s="12"/>
    </row>
    <row r="151" spans="1:1" x14ac:dyDescent="0.2">
      <c r="A151" s="12"/>
    </row>
    <row r="152" spans="1:1" x14ac:dyDescent="0.2">
      <c r="A152" s="12"/>
    </row>
    <row r="153" spans="1:1" x14ac:dyDescent="0.2">
      <c r="A153" s="12"/>
    </row>
    <row r="155" spans="1:1" x14ac:dyDescent="0.2">
      <c r="A155" s="12"/>
    </row>
    <row r="156" spans="1:1" x14ac:dyDescent="0.2">
      <c r="A156" s="12"/>
    </row>
    <row r="157" spans="1:1" x14ac:dyDescent="0.2">
      <c r="A157" s="12"/>
    </row>
    <row r="158" spans="1:1" x14ac:dyDescent="0.2">
      <c r="A158" s="12"/>
    </row>
    <row r="159" spans="1:1" x14ac:dyDescent="0.2">
      <c r="A159" s="12"/>
    </row>
    <row r="160" spans="1:1" x14ac:dyDescent="0.2">
      <c r="A160" s="12"/>
    </row>
    <row r="161" spans="1:1" x14ac:dyDescent="0.2">
      <c r="A161" s="12"/>
    </row>
    <row r="162" spans="1:1" x14ac:dyDescent="0.2">
      <c r="A162" s="12"/>
    </row>
    <row r="163" spans="1:1" x14ac:dyDescent="0.2">
      <c r="A163" s="12"/>
    </row>
    <row r="164" spans="1:1" x14ac:dyDescent="0.2">
      <c r="A164" s="12"/>
    </row>
    <row r="165" spans="1:1" x14ac:dyDescent="0.2">
      <c r="A165" s="12"/>
    </row>
    <row r="174" spans="1:1" x14ac:dyDescent="0.2">
      <c r="A174" s="16"/>
    </row>
    <row r="194" spans="5:12" x14ac:dyDescent="0.2">
      <c r="E194" s="23"/>
      <c r="F194" s="23"/>
      <c r="G194" s="23"/>
      <c r="H194" s="23"/>
      <c r="I194" s="23"/>
      <c r="J194" s="23"/>
      <c r="K194" s="23"/>
      <c r="L194" s="23"/>
    </row>
    <row r="463" spans="57:59" x14ac:dyDescent="0.2">
      <c r="BE463" s="14"/>
      <c r="BG463" s="33"/>
    </row>
    <row r="464" spans="57:59" x14ac:dyDescent="0.2">
      <c r="BE464" s="14"/>
      <c r="BG464" s="33"/>
    </row>
    <row r="465" spans="57:60" x14ac:dyDescent="0.2">
      <c r="BE465" s="14"/>
      <c r="BG465" s="33"/>
    </row>
    <row r="466" spans="57:60" x14ac:dyDescent="0.2">
      <c r="BE466" s="14"/>
      <c r="BG466" s="33"/>
    </row>
    <row r="467" spans="57:60" x14ac:dyDescent="0.2">
      <c r="BE467" s="14"/>
      <c r="BG467" s="33"/>
    </row>
    <row r="468" spans="57:60" x14ac:dyDescent="0.2">
      <c r="BE468" s="14" t="s">
        <v>172</v>
      </c>
      <c r="BG468" s="33">
        <f>MONTH(F9)</f>
        <v>12</v>
      </c>
    </row>
    <row r="470" spans="57:60" x14ac:dyDescent="0.2">
      <c r="BE470" s="14" t="s">
        <v>173</v>
      </c>
      <c r="BG470" s="33">
        <f>MONTH(I9)</f>
        <v>7</v>
      </c>
      <c r="BH470" s="33">
        <f>+BG468/BG470</f>
        <v>1.7142857142857142</v>
      </c>
    </row>
    <row r="472" spans="57:60" x14ac:dyDescent="0.2">
      <c r="BE472" s="13" t="s">
        <v>174</v>
      </c>
      <c r="BG472" s="33">
        <f>MONTH(F9)*30</f>
        <v>360</v>
      </c>
    </row>
    <row r="473" spans="57:60" x14ac:dyDescent="0.2">
      <c r="BE473" s="13" t="s">
        <v>175</v>
      </c>
      <c r="BG473" s="33">
        <f>MONTH(I9)*30</f>
        <v>210</v>
      </c>
    </row>
  </sheetData>
  <sheetProtection algorithmName="SHA-512" hashValue="KtttPZ7vzk7+wjc7xcS3vdt+A2prKCKzTFfc/tZwbNhagqiMPgFZix2JjJTNFA9lQVxQkYvIKv/HGawQEyT99A==" saltValue="ThC3C5QXf4lRjLb35fo2wg==" spinCount="100000" sheet="1" objects="1" scenarios="1"/>
  <mergeCells count="10">
    <mergeCell ref="R28:X28"/>
    <mergeCell ref="B7:I7"/>
    <mergeCell ref="B8:I8"/>
    <mergeCell ref="J22:O22"/>
    <mergeCell ref="R24:W24"/>
    <mergeCell ref="J7:Q7"/>
    <mergeCell ref="J8:N8"/>
    <mergeCell ref="R9:W9"/>
    <mergeCell ref="R16:W16"/>
    <mergeCell ref="R20:W20"/>
  </mergeCells>
  <phoneticPr fontId="8" type="noConversion"/>
  <pageMargins left="1.3385826771653544" right="0.15748031496062992" top="0.6692913385826772" bottom="0.43307086614173229" header="0" footer="0"/>
  <pageSetup scale="29" orientation="landscape" r:id="rId1"/>
  <headerFooter alignWithMargins="0">
    <oddFooter>Página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E1047"/>
    <pageSetUpPr fitToPage="1"/>
  </sheetPr>
  <dimension ref="A1:N184"/>
  <sheetViews>
    <sheetView topLeftCell="A106" workbookViewId="0">
      <pane xSplit="2" ySplit="1" topLeftCell="C107" activePane="bottomRight" state="frozen"/>
      <selection activeCell="A106" sqref="A106"/>
      <selection pane="topRight" activeCell="C106" sqref="C106"/>
      <selection pane="bottomLeft" activeCell="A107" sqref="A107"/>
      <selection pane="bottomRight" activeCell="K126" sqref="K126"/>
    </sheetView>
  </sheetViews>
  <sheetFormatPr baseColWidth="10" defaultRowHeight="12.75" x14ac:dyDescent="0.2"/>
  <cols>
    <col min="1" max="1" width="53" customWidth="1"/>
    <col min="3" max="3" width="4.7109375" customWidth="1"/>
    <col min="4" max="4" width="5.42578125" customWidth="1"/>
    <col min="5" max="5" width="7.7109375" customWidth="1"/>
    <col min="6" max="6" width="6" bestFit="1" customWidth="1"/>
    <col min="7" max="7" width="4.28515625" bestFit="1" customWidth="1"/>
    <col min="8" max="8" width="17.140625" customWidth="1"/>
    <col min="9" max="9" width="17.28515625" customWidth="1"/>
    <col min="10" max="10" width="6.85546875" customWidth="1"/>
    <col min="11" max="11" width="48.7109375" customWidth="1"/>
    <col min="12" max="12" width="27.42578125" customWidth="1"/>
    <col min="13" max="13" width="53.42578125" customWidth="1"/>
    <col min="14" max="14" width="51.28515625" customWidth="1"/>
  </cols>
  <sheetData>
    <row r="1" spans="1:3" ht="15.75" x14ac:dyDescent="0.25">
      <c r="A1" s="35" t="s">
        <v>226</v>
      </c>
    </row>
    <row r="3" spans="1:3" x14ac:dyDescent="0.2">
      <c r="A3" s="3" t="s">
        <v>227</v>
      </c>
    </row>
    <row r="5" spans="1:3" x14ac:dyDescent="0.2">
      <c r="A5" t="s">
        <v>228</v>
      </c>
      <c r="B5" s="75">
        <f>+'ANALISIS FINANCIERO ESE'!I20/'ANALISIS FINANCIERO ESE'!I63</f>
        <v>0.19289387656338802</v>
      </c>
      <c r="C5" s="36"/>
    </row>
    <row r="7" spans="1:3" x14ac:dyDescent="0.2">
      <c r="A7" s="3" t="s">
        <v>229</v>
      </c>
    </row>
    <row r="9" spans="1:3" x14ac:dyDescent="0.2">
      <c r="A9" t="s">
        <v>230</v>
      </c>
      <c r="B9" s="76">
        <f>+'ANALISIS FINANCIERO ESE'!I14/'ANALISIS FINANCIERO ESE'!I45</f>
        <v>0.26626963936245612</v>
      </c>
      <c r="C9" s="37"/>
    </row>
    <row r="11" spans="1:3" x14ac:dyDescent="0.2">
      <c r="A11" s="3" t="s">
        <v>231</v>
      </c>
    </row>
    <row r="12" spans="1:3" x14ac:dyDescent="0.2">
      <c r="B12" s="37"/>
      <c r="C12" s="37"/>
    </row>
    <row r="13" spans="1:3" x14ac:dyDescent="0.2">
      <c r="A13" t="s">
        <v>232</v>
      </c>
      <c r="B13" s="37">
        <f>+'ANALISIS FINANCIERO ESE'!I45/'ANALISIS FINANCIERO ESE'!I63</f>
        <v>1.0715929869261696</v>
      </c>
      <c r="C13" s="37"/>
    </row>
    <row r="15" spans="1:3" x14ac:dyDescent="0.2">
      <c r="A15" s="3" t="s">
        <v>233</v>
      </c>
    </row>
    <row r="17" spans="1:6" x14ac:dyDescent="0.2">
      <c r="A17" s="10" t="s">
        <v>308</v>
      </c>
      <c r="B17" s="76">
        <f>+'ANALISIS FINANCIERO ESE'!I55/'ANALISIS FINANCIERO ESE'!I45</f>
        <v>6.6809868860883012E-2</v>
      </c>
      <c r="C17" s="37"/>
    </row>
    <row r="19" spans="1:6" x14ac:dyDescent="0.2">
      <c r="A19" s="3" t="s">
        <v>234</v>
      </c>
      <c r="B19" s="9"/>
      <c r="C19" s="9"/>
    </row>
    <row r="20" spans="1:6" x14ac:dyDescent="0.2">
      <c r="B20" s="9"/>
      <c r="C20" s="9"/>
    </row>
    <row r="21" spans="1:6" x14ac:dyDescent="0.2">
      <c r="A21" t="s">
        <v>235</v>
      </c>
      <c r="B21" s="76">
        <f>+'ANALISIS FINANCIERO ESE'!I20/'ANALISIS FINANCIERO ESE'!I14</f>
        <v>0.67603149348003111</v>
      </c>
      <c r="C21" s="37"/>
    </row>
    <row r="24" spans="1:6" ht="15.75" x14ac:dyDescent="0.25">
      <c r="A24" s="35" t="s">
        <v>236</v>
      </c>
    </row>
    <row r="26" spans="1:6" x14ac:dyDescent="0.2">
      <c r="A26" s="3" t="s">
        <v>237</v>
      </c>
      <c r="D26" s="9"/>
      <c r="E26" s="9"/>
      <c r="F26" s="9"/>
    </row>
    <row r="27" spans="1:6" x14ac:dyDescent="0.2">
      <c r="D27" s="9"/>
      <c r="E27" s="9"/>
      <c r="F27" s="9"/>
    </row>
    <row r="28" spans="1:6" x14ac:dyDescent="0.2">
      <c r="A28" t="s">
        <v>238</v>
      </c>
      <c r="B28" s="76">
        <f>+'ANALISIS FINANCIERO ESE'!I20/'ANALISIS FINANCIERO ESE'!I11</f>
        <v>0.37732806868113922</v>
      </c>
      <c r="C28" s="37"/>
    </row>
    <row r="30" spans="1:6" x14ac:dyDescent="0.2">
      <c r="A30" s="3" t="s">
        <v>239</v>
      </c>
    </row>
    <row r="31" spans="1:6" x14ac:dyDescent="0.2">
      <c r="B31" s="9"/>
      <c r="C31" s="9"/>
      <c r="D31" s="9"/>
      <c r="E31" s="9"/>
      <c r="F31" s="9"/>
    </row>
    <row r="32" spans="1:6" ht="25.5" x14ac:dyDescent="0.2">
      <c r="A32" s="85" t="s">
        <v>240</v>
      </c>
      <c r="B32" s="76">
        <f>+('ANALISIS FINANCIERO ESE'!I15+'ANALISIS FINANCIERO ESE'!I18)/'ANALISIS FINANCIERO ESE'!I11</f>
        <v>0.18088261902390276</v>
      </c>
      <c r="C32" s="37"/>
    </row>
    <row r="34" spans="1:6" x14ac:dyDescent="0.2">
      <c r="A34" s="3" t="s">
        <v>241</v>
      </c>
      <c r="D34" s="9"/>
      <c r="E34" s="9"/>
      <c r="F34" s="9"/>
    </row>
    <row r="35" spans="1:6" x14ac:dyDescent="0.2">
      <c r="D35" s="9"/>
      <c r="E35" s="9"/>
      <c r="F35" s="9"/>
    </row>
    <row r="36" spans="1:6" x14ac:dyDescent="0.2">
      <c r="A36" t="s">
        <v>242</v>
      </c>
      <c r="B36" s="76">
        <f>+'RESULTADOS DESAGR'!C31/'RESULTADOS DESAGR'!C15</f>
        <v>9.1385966880501174E-3</v>
      </c>
      <c r="C36" s="38"/>
    </row>
    <row r="37" spans="1:6" x14ac:dyDescent="0.2">
      <c r="D37" s="9"/>
      <c r="E37" s="9"/>
      <c r="F37" s="9"/>
    </row>
    <row r="38" spans="1:6" x14ac:dyDescent="0.2">
      <c r="A38" t="s">
        <v>314</v>
      </c>
      <c r="D38" s="9"/>
      <c r="E38" s="9"/>
      <c r="F38" s="9"/>
    </row>
    <row r="39" spans="1:6" x14ac:dyDescent="0.2">
      <c r="D39" s="9"/>
      <c r="E39" s="9"/>
      <c r="F39" s="9"/>
    </row>
    <row r="40" spans="1:6" x14ac:dyDescent="0.2">
      <c r="A40" t="s">
        <v>243</v>
      </c>
      <c r="B40" s="76">
        <f>+'RESULTADOS DESAGR'!C35/'RESULTADOS DESAGR'!C15</f>
        <v>0.10513553812723597</v>
      </c>
      <c r="C40" s="38"/>
      <c r="D40" s="9"/>
      <c r="E40" s="9"/>
      <c r="F40" s="9"/>
    </row>
    <row r="42" spans="1:6" x14ac:dyDescent="0.2">
      <c r="A42" s="3" t="s">
        <v>244</v>
      </c>
    </row>
    <row r="44" spans="1:6" x14ac:dyDescent="0.2">
      <c r="A44" t="s">
        <v>245</v>
      </c>
      <c r="B44" s="76">
        <f>+'ANALISIS FINANCIERO ESE'!I29/'ANALISIS FINANCIERO ESE'!I45</f>
        <v>0.61978869890821575</v>
      </c>
      <c r="C44" s="37"/>
    </row>
    <row r="46" spans="1:6" x14ac:dyDescent="0.2">
      <c r="A46" s="3" t="s">
        <v>246</v>
      </c>
    </row>
    <row r="47" spans="1:6" x14ac:dyDescent="0.2">
      <c r="D47" s="9"/>
      <c r="E47" s="9"/>
      <c r="F47" s="9"/>
    </row>
    <row r="48" spans="1:6" x14ac:dyDescent="0.2">
      <c r="A48" t="s">
        <v>247</v>
      </c>
      <c r="B48" s="38">
        <f>+'ANALISIS FINANCIERO ESE'!I11/'ANALISIS FINANCIERO ESE'!I45</f>
        <v>0.4770561135188302</v>
      </c>
      <c r="C48" s="38"/>
      <c r="D48" s="9"/>
      <c r="E48" s="9"/>
      <c r="F48" s="9"/>
    </row>
    <row r="50" spans="1:6" x14ac:dyDescent="0.2">
      <c r="A50" s="3" t="s">
        <v>248</v>
      </c>
      <c r="D50" s="9"/>
      <c r="E50" s="9"/>
      <c r="F50" s="9"/>
    </row>
    <row r="51" spans="1:6" x14ac:dyDescent="0.2">
      <c r="D51" s="9"/>
      <c r="E51" s="9"/>
      <c r="F51" s="9"/>
    </row>
    <row r="52" spans="1:6" x14ac:dyDescent="0.2">
      <c r="A52" t="s">
        <v>249</v>
      </c>
      <c r="B52" s="38">
        <f>+'ANALISIS FINANCIERO ESE'!I11/'ANALISIS FINANCIERO ESE'!I29</f>
        <v>0.76970766707941729</v>
      </c>
      <c r="C52" s="38"/>
    </row>
    <row r="54" spans="1:6" x14ac:dyDescent="0.2">
      <c r="A54" s="3" t="s">
        <v>250</v>
      </c>
    </row>
    <row r="56" spans="1:6" x14ac:dyDescent="0.2">
      <c r="A56" s="10" t="s">
        <v>312</v>
      </c>
      <c r="B56" s="76">
        <f>+'ANALISIS FINANCIERO ESE'!I24/'ANALISIS FINANCIERO ESE'!I29</f>
        <v>5.8370679231666292E-2</v>
      </c>
      <c r="C56" s="37"/>
    </row>
    <row r="58" spans="1:6" x14ac:dyDescent="0.2">
      <c r="A58" s="10" t="s">
        <v>309</v>
      </c>
      <c r="B58" s="75">
        <f>+'ANALISIS FINANCIERO ESE'!I25/'ANALISIS FINANCIERO ESE'!I29</f>
        <v>0.89525575989047557</v>
      </c>
      <c r="C58" s="36"/>
    </row>
    <row r="61" spans="1:6" ht="15.75" x14ac:dyDescent="0.25">
      <c r="A61" s="35" t="s">
        <v>310</v>
      </c>
    </row>
    <row r="63" spans="1:6" x14ac:dyDescent="0.2">
      <c r="A63" s="3" t="s">
        <v>251</v>
      </c>
    </row>
    <row r="65" spans="1:6" x14ac:dyDescent="0.2">
      <c r="A65" t="s">
        <v>252</v>
      </c>
      <c r="B65" s="76">
        <f>+'ANALISIS FINANCIERO ESE'!I29/'ANALISIS FINANCIERO ESE'!I45</f>
        <v>0.61978869890821575</v>
      </c>
      <c r="C65" s="37"/>
    </row>
    <row r="67" spans="1:6" x14ac:dyDescent="0.2">
      <c r="A67" t="s">
        <v>253</v>
      </c>
      <c r="B67" s="76">
        <f>+'ANALISIS FINANCIERO ESE'!I37/'ANALISIS FINANCIERO ESE'!I45</f>
        <v>0.3699164018584713</v>
      </c>
      <c r="C67" s="37"/>
    </row>
    <row r="70" spans="1:6" x14ac:dyDescent="0.2">
      <c r="A70" s="3" t="s">
        <v>254</v>
      </c>
    </row>
    <row r="72" spans="1:6" x14ac:dyDescent="0.2">
      <c r="A72" t="s">
        <v>255</v>
      </c>
      <c r="B72" s="76">
        <f>+'ANALISIS FINANCIERO ESE'!I50/'ANALISIS FINANCIERO ESE'!I55</f>
        <v>1</v>
      </c>
      <c r="C72" s="37"/>
    </row>
    <row r="74" spans="1:6" x14ac:dyDescent="0.2">
      <c r="A74" t="s">
        <v>256</v>
      </c>
      <c r="B74" s="76">
        <f>+('ANALISIS FINANCIERO ESE'!I54)/'ANALISIS FINANCIERO ESE'!I45</f>
        <v>0</v>
      </c>
      <c r="C74" s="38"/>
      <c r="D74" s="9"/>
      <c r="E74" s="9"/>
      <c r="F74" s="9"/>
    </row>
    <row r="75" spans="1:6" x14ac:dyDescent="0.2">
      <c r="D75" s="38"/>
      <c r="E75" s="38"/>
      <c r="F75" s="38"/>
    </row>
    <row r="76" spans="1:6" x14ac:dyDescent="0.2">
      <c r="A76" t="s">
        <v>257</v>
      </c>
      <c r="B76" s="76">
        <f>+'ANALISIS FINANCIERO ESE'!I63/'ANALISIS FINANCIERO ESE'!I55</f>
        <v>13.967848568670558</v>
      </c>
      <c r="C76" s="37"/>
      <c r="D76" s="9"/>
      <c r="E76" s="9"/>
      <c r="F76" s="9"/>
    </row>
    <row r="79" spans="1:6" x14ac:dyDescent="0.2">
      <c r="A79" s="3" t="s">
        <v>258</v>
      </c>
    </row>
    <row r="80" spans="1:6" x14ac:dyDescent="0.2">
      <c r="A80" s="39" t="s">
        <v>259</v>
      </c>
    </row>
    <row r="82" spans="1:3" x14ac:dyDescent="0.2">
      <c r="A82" s="10" t="s">
        <v>311</v>
      </c>
      <c r="B82" s="37">
        <f>+'ANALISIS FINANCIERO ESE'!I63/'ANALISIS FINANCIERO ESE'!I45</f>
        <v>0.93319013114155247</v>
      </c>
      <c r="C82" s="37"/>
    </row>
    <row r="84" spans="1:3" x14ac:dyDescent="0.2">
      <c r="A84" t="s">
        <v>260</v>
      </c>
      <c r="B84" s="38">
        <f>+'ANALISIS FINANCIERO ESE'!I54/'ANALISIS FINANCIERO ESE'!I37</f>
        <v>0</v>
      </c>
      <c r="C84" s="38"/>
    </row>
    <row r="86" spans="1:3" ht="25.5" x14ac:dyDescent="0.2">
      <c r="A86" s="85" t="s">
        <v>261</v>
      </c>
      <c r="B86" s="38">
        <f>+('ANALISIS FINANCIERO ESE'!I54+'ANALISIS FINANCIERO ESE'!I63)/'ANALISIS FINANCIERO ESE'!I37</f>
        <v>2.5227054719746858</v>
      </c>
      <c r="C86" s="38"/>
    </row>
    <row r="88" spans="1:3" x14ac:dyDescent="0.2">
      <c r="A88" s="3" t="s">
        <v>262</v>
      </c>
    </row>
    <row r="90" spans="1:3" x14ac:dyDescent="0.2">
      <c r="A90" t="s">
        <v>263</v>
      </c>
      <c r="B90" s="38">
        <f>+'ANALISIS FINANCIERO ESE'!I11/'ANALISIS FINANCIERO ESE'!I45</f>
        <v>0.4770561135188302</v>
      </c>
      <c r="C90" s="38"/>
    </row>
    <row r="92" spans="1:3" x14ac:dyDescent="0.2">
      <c r="A92" s="3" t="s">
        <v>118</v>
      </c>
    </row>
    <row r="94" spans="1:3" x14ac:dyDescent="0.2">
      <c r="A94" t="s">
        <v>264</v>
      </c>
      <c r="B94" s="37">
        <f>+'ANALISIS FINANCIERO ESE'!I29/'ANALISIS FINANCIERO ESE'!I50</f>
        <v>9.2769033898089308</v>
      </c>
      <c r="C94" s="37"/>
    </row>
    <row r="96" spans="1:3" x14ac:dyDescent="0.2">
      <c r="A96" s="3" t="s">
        <v>265</v>
      </c>
    </row>
    <row r="97" spans="1:3" x14ac:dyDescent="0.2">
      <c r="C97" s="9"/>
    </row>
    <row r="98" spans="1:3" ht="25.5" x14ac:dyDescent="0.2">
      <c r="A98" s="85" t="s">
        <v>266</v>
      </c>
      <c r="B98" s="38">
        <f>+'ANALISIS FINANCIERO ESE'!I47*365/'ANALISIS FINANCIERO ESE'!I13</f>
        <v>29.319623054512729</v>
      </c>
      <c r="C98" s="38"/>
    </row>
    <row r="100" spans="1:3" x14ac:dyDescent="0.2">
      <c r="A100" s="3" t="s">
        <v>267</v>
      </c>
    </row>
    <row r="102" spans="1:3" x14ac:dyDescent="0.2">
      <c r="A102" t="s">
        <v>268</v>
      </c>
      <c r="B102" s="40">
        <f>(+'ANALISIS FINANCIERO ESE'!I25+'ANALISIS FINANCIERO ESE'!I38)*365/'ANALISIS FINANCIERO ESE'!I11</f>
        <v>424.53565988229673</v>
      </c>
      <c r="C102" s="9"/>
    </row>
    <row r="103" spans="1:3" ht="15" x14ac:dyDescent="0.2">
      <c r="A103" s="87"/>
      <c r="B103" s="87"/>
    </row>
    <row r="109" spans="1:3" ht="15.75" x14ac:dyDescent="0.25">
      <c r="A109" s="35" t="s">
        <v>330</v>
      </c>
    </row>
    <row r="110" spans="1:3" x14ac:dyDescent="0.2">
      <c r="A110" s="175" t="s">
        <v>389</v>
      </c>
    </row>
    <row r="111" spans="1:3" ht="13.5" thickBot="1" x14ac:dyDescent="0.25"/>
    <row r="112" spans="1:3" x14ac:dyDescent="0.2">
      <c r="A112" s="266" t="s">
        <v>269</v>
      </c>
      <c r="B112" s="267"/>
      <c r="C112" s="2"/>
    </row>
    <row r="113" spans="1:14" x14ac:dyDescent="0.2">
      <c r="A113" s="41"/>
      <c r="B113" s="42"/>
      <c r="C113" s="43"/>
      <c r="D113" s="43"/>
      <c r="E113" s="43"/>
      <c r="F113" s="43"/>
      <c r="G113" s="43"/>
      <c r="H113" s="43"/>
    </row>
    <row r="114" spans="1:14" ht="13.5" thickBot="1" x14ac:dyDescent="0.25">
      <c r="A114" s="44" t="s">
        <v>227</v>
      </c>
      <c r="B114" s="77">
        <f>+B5</f>
        <v>0.19289387656338802</v>
      </c>
      <c r="C114" s="45"/>
      <c r="I114" s="46"/>
      <c r="K114" s="156" t="s">
        <v>336</v>
      </c>
      <c r="M114" s="157"/>
      <c r="N114" s="157"/>
    </row>
    <row r="115" spans="1:14" ht="13.5" thickBot="1" x14ac:dyDescent="0.25">
      <c r="A115" s="41"/>
      <c r="B115" s="78"/>
      <c r="I115" s="46"/>
      <c r="K115" t="s">
        <v>337</v>
      </c>
      <c r="L115" s="176">
        <v>7.4700000000000003E-2</v>
      </c>
      <c r="M115" s="158" t="s">
        <v>384</v>
      </c>
      <c r="N115" s="157"/>
    </row>
    <row r="116" spans="1:14" ht="13.5" thickBot="1" x14ac:dyDescent="0.25">
      <c r="A116" s="44" t="s">
        <v>270</v>
      </c>
      <c r="B116" s="77">
        <f>+B9</f>
        <v>0.26626963936245612</v>
      </c>
      <c r="C116" s="47"/>
      <c r="I116" s="46"/>
      <c r="K116" s="157" t="s">
        <v>338</v>
      </c>
      <c r="L116" s="176">
        <v>9.4899999999999998E-2</v>
      </c>
      <c r="M116" s="157"/>
      <c r="N116" s="157"/>
    </row>
    <row r="117" spans="1:14" ht="13.5" thickBot="1" x14ac:dyDescent="0.25">
      <c r="A117" s="41"/>
      <c r="B117" s="78"/>
      <c r="C117" s="48"/>
      <c r="I117" s="49"/>
      <c r="K117" s="157" t="s">
        <v>339</v>
      </c>
      <c r="L117" s="176">
        <v>5.6099999999999997E-2</v>
      </c>
      <c r="M117" s="157"/>
      <c r="N117" s="157"/>
    </row>
    <row r="118" spans="1:14" x14ac:dyDescent="0.2">
      <c r="A118" s="44" t="s">
        <v>271</v>
      </c>
      <c r="B118" s="77">
        <f>+B13</f>
        <v>1.0715929869261696</v>
      </c>
      <c r="C118" s="50"/>
      <c r="D118" s="48"/>
      <c r="E118" s="49"/>
      <c r="F118" s="43"/>
      <c r="G118" s="43"/>
      <c r="H118" s="268" t="s">
        <v>272</v>
      </c>
      <c r="I118" s="269"/>
      <c r="L118" s="177"/>
      <c r="M118" s="157"/>
      <c r="N118" s="157"/>
    </row>
    <row r="119" spans="1:14" ht="13.5" thickBot="1" x14ac:dyDescent="0.25">
      <c r="A119" s="41"/>
      <c r="B119" s="78"/>
      <c r="C119" s="52"/>
      <c r="D119" s="52"/>
      <c r="G119" s="1" t="s">
        <v>273</v>
      </c>
      <c r="H119" s="270"/>
      <c r="I119" s="271"/>
      <c r="K119" s="156" t="s">
        <v>383</v>
      </c>
      <c r="L119" s="177"/>
      <c r="M119" s="157"/>
      <c r="N119" s="157"/>
    </row>
    <row r="120" spans="1:14" ht="13.5" thickBot="1" x14ac:dyDescent="0.25">
      <c r="A120" s="44" t="s">
        <v>233</v>
      </c>
      <c r="B120" s="77">
        <f>+B17</f>
        <v>6.6809868860883012E-2</v>
      </c>
      <c r="C120" s="53"/>
      <c r="D120" s="48"/>
      <c r="H120" s="48"/>
      <c r="K120" t="s">
        <v>337</v>
      </c>
      <c r="L120" s="176">
        <v>0.13013288376267479</v>
      </c>
      <c r="M120" s="159" t="s">
        <v>378</v>
      </c>
      <c r="N120" s="157"/>
    </row>
    <row r="121" spans="1:14" ht="13.5" thickBot="1" x14ac:dyDescent="0.25">
      <c r="A121" s="41"/>
      <c r="B121" s="78"/>
      <c r="C121" s="54"/>
      <c r="D121" s="54"/>
      <c r="H121" s="54"/>
      <c r="I121" t="s">
        <v>274</v>
      </c>
      <c r="K121" s="157" t="s">
        <v>338</v>
      </c>
      <c r="L121" s="176">
        <v>0.1130759612628579</v>
      </c>
      <c r="M121" s="157"/>
      <c r="N121" s="157"/>
    </row>
    <row r="122" spans="1:14" ht="13.5" thickBot="1" x14ac:dyDescent="0.25">
      <c r="A122" s="55" t="s">
        <v>234</v>
      </c>
      <c r="B122" s="79">
        <f>+B21</f>
        <v>0.67603149348003111</v>
      </c>
      <c r="C122" s="53"/>
      <c r="D122" s="54"/>
      <c r="F122" s="272" t="s">
        <v>275</v>
      </c>
      <c r="G122" s="52"/>
      <c r="H122" s="268" t="s">
        <v>276</v>
      </c>
      <c r="I122" s="269"/>
      <c r="K122" s="157" t="s">
        <v>339</v>
      </c>
      <c r="L122" s="176">
        <v>7.8468644359474551E-2</v>
      </c>
      <c r="M122" s="157"/>
      <c r="N122" s="157"/>
    </row>
    <row r="123" spans="1:14" x14ac:dyDescent="0.2">
      <c r="B123" s="37"/>
      <c r="C123" s="53"/>
      <c r="D123" s="54"/>
      <c r="F123" s="273"/>
      <c r="G123" s="1" t="s">
        <v>277</v>
      </c>
      <c r="H123" s="270"/>
      <c r="I123" s="271"/>
      <c r="M123" s="157"/>
      <c r="N123" s="157"/>
    </row>
    <row r="124" spans="1:14" x14ac:dyDescent="0.2">
      <c r="B124" s="43"/>
      <c r="C124" s="52"/>
      <c r="D124" s="54"/>
      <c r="H124" s="48"/>
      <c r="K124" s="157"/>
      <c r="L124" s="157"/>
      <c r="M124" s="157"/>
      <c r="N124" s="157"/>
    </row>
    <row r="125" spans="1:14" ht="13.5" customHeight="1" thickBot="1" x14ac:dyDescent="0.25">
      <c r="A125" s="54"/>
      <c r="D125" s="54"/>
      <c r="E125" s="49"/>
      <c r="F125" s="43"/>
      <c r="G125" s="43"/>
      <c r="H125" s="52"/>
      <c r="I125" t="s">
        <v>274</v>
      </c>
      <c r="K125" s="287" t="s">
        <v>340</v>
      </c>
      <c r="L125" s="287"/>
      <c r="M125" s="287"/>
      <c r="N125" s="306" t="s">
        <v>379</v>
      </c>
    </row>
    <row r="126" spans="1:14" x14ac:dyDescent="0.2">
      <c r="A126" s="266" t="s">
        <v>278</v>
      </c>
      <c r="B126" s="267"/>
      <c r="D126" s="54"/>
      <c r="K126" s="160" t="s">
        <v>341</v>
      </c>
      <c r="L126" s="178"/>
      <c r="M126" s="162" t="str">
        <f>IFERROR(+L126/(+$L$126+$L$127+$L$128+$L$129),"")</f>
        <v/>
      </c>
      <c r="N126" s="306"/>
    </row>
    <row r="127" spans="1:14" x14ac:dyDescent="0.2">
      <c r="A127" s="56"/>
      <c r="B127" s="42"/>
      <c r="C127" s="43"/>
      <c r="D127" s="52"/>
      <c r="E127" s="43"/>
      <c r="F127" s="43"/>
      <c r="G127" s="43"/>
      <c r="H127" s="43"/>
      <c r="K127" s="160" t="s">
        <v>342</v>
      </c>
      <c r="L127" s="178"/>
      <c r="M127" s="162" t="str">
        <f>IFERROR(+L127/(+$L$126+$L$127+$L$128+$L$129),"")</f>
        <v/>
      </c>
      <c r="N127" s="306"/>
    </row>
    <row r="128" spans="1:14" x14ac:dyDescent="0.2">
      <c r="A128" s="57" t="s">
        <v>279</v>
      </c>
      <c r="B128" s="77">
        <f>+B28</f>
        <v>0.37732806868113922</v>
      </c>
      <c r="C128" s="37"/>
      <c r="D128" s="54"/>
      <c r="I128" s="46"/>
      <c r="K128" s="160" t="s">
        <v>343</v>
      </c>
      <c r="L128" s="178"/>
      <c r="M128" s="162" t="str">
        <f>IFERROR(+L128/(+$L$126+$L$127+$L$128+$L$129),"")</f>
        <v/>
      </c>
      <c r="N128" s="306"/>
    </row>
    <row r="129" spans="1:14" x14ac:dyDescent="0.2">
      <c r="A129" s="56"/>
      <c r="B129" s="78"/>
      <c r="D129" s="54"/>
      <c r="H129" s="274" t="s">
        <v>280</v>
      </c>
      <c r="I129" s="275"/>
      <c r="K129" s="160" t="s">
        <v>344</v>
      </c>
      <c r="L129" s="178"/>
      <c r="M129" s="162" t="str">
        <f>IFERROR(+L129/(+$L$126+$L$127+$L$128+$L$129),"")</f>
        <v/>
      </c>
      <c r="N129" s="306"/>
    </row>
    <row r="130" spans="1:14" x14ac:dyDescent="0.2">
      <c r="A130" s="57" t="s">
        <v>239</v>
      </c>
      <c r="B130" s="77">
        <f>+B32</f>
        <v>0.18088261902390276</v>
      </c>
      <c r="C130" s="37"/>
      <c r="D130" s="54"/>
      <c r="I130" s="58"/>
      <c r="K130" s="157"/>
      <c r="L130" s="157"/>
      <c r="M130" s="157"/>
      <c r="N130" s="159"/>
    </row>
    <row r="131" spans="1:14" ht="12.75" customHeight="1" x14ac:dyDescent="0.2">
      <c r="A131" s="56"/>
      <c r="B131" s="78"/>
      <c r="C131" s="43"/>
      <c r="D131" s="52"/>
      <c r="E131" s="43"/>
      <c r="I131" s="46" t="s">
        <v>274</v>
      </c>
      <c r="K131" s="307" t="s">
        <v>345</v>
      </c>
      <c r="L131" s="160" t="s">
        <v>346</v>
      </c>
      <c r="M131" s="165" t="s">
        <v>347</v>
      </c>
      <c r="N131" s="309" t="s">
        <v>380</v>
      </c>
    </row>
    <row r="132" spans="1:14" x14ac:dyDescent="0.2">
      <c r="A132" s="57" t="s">
        <v>281</v>
      </c>
      <c r="B132" s="77">
        <f>+B5</f>
        <v>0.19289387656338802</v>
      </c>
      <c r="D132" s="54"/>
      <c r="F132" s="46"/>
      <c r="H132" s="284" t="s">
        <v>282</v>
      </c>
      <c r="I132" s="284"/>
      <c r="J132" s="43"/>
      <c r="K132" s="308"/>
      <c r="L132" s="160" t="s">
        <v>348</v>
      </c>
      <c r="M132" s="165" t="s">
        <v>347</v>
      </c>
      <c r="N132" s="309"/>
    </row>
    <row r="133" spans="1:14" ht="24" customHeight="1" x14ac:dyDescent="0.2">
      <c r="A133" s="56"/>
      <c r="B133" s="78"/>
      <c r="C133" s="37"/>
      <c r="D133" s="54"/>
      <c r="F133" s="46"/>
      <c r="H133" s="284"/>
      <c r="I133" s="284"/>
      <c r="K133" s="163" t="s">
        <v>349</v>
      </c>
      <c r="L133" s="285" t="s">
        <v>381</v>
      </c>
      <c r="M133" s="285"/>
      <c r="N133" s="157"/>
    </row>
    <row r="134" spans="1:14" ht="27.75" customHeight="1" x14ac:dyDescent="0.2">
      <c r="A134" s="57" t="s">
        <v>244</v>
      </c>
      <c r="B134" s="77">
        <f>+B44</f>
        <v>0.61978869890821575</v>
      </c>
      <c r="C134" s="37"/>
      <c r="D134" s="54"/>
      <c r="F134" s="46"/>
      <c r="K134" s="164" t="s">
        <v>350</v>
      </c>
      <c r="L134" s="286" t="s">
        <v>351</v>
      </c>
      <c r="M134" s="286"/>
      <c r="N134" s="157"/>
    </row>
    <row r="135" spans="1:14" ht="23.25" customHeight="1" x14ac:dyDescent="0.2">
      <c r="A135" s="56"/>
      <c r="B135" s="78"/>
      <c r="D135" s="54"/>
      <c r="F135" s="46"/>
      <c r="K135" s="285" t="s">
        <v>328</v>
      </c>
      <c r="L135" s="286" t="s">
        <v>352</v>
      </c>
      <c r="M135" s="286"/>
      <c r="N135" s="157"/>
    </row>
    <row r="136" spans="1:14" x14ac:dyDescent="0.2">
      <c r="A136" s="57" t="s">
        <v>246</v>
      </c>
      <c r="B136" s="84">
        <f>+B48</f>
        <v>0.4770561135188302</v>
      </c>
      <c r="C136" s="38"/>
      <c r="D136" s="54"/>
      <c r="F136" s="49"/>
      <c r="G136" s="43"/>
      <c r="H136" s="43"/>
      <c r="K136" s="285"/>
      <c r="L136" s="286"/>
      <c r="M136" s="286"/>
      <c r="N136" s="157"/>
    </row>
    <row r="137" spans="1:14" x14ac:dyDescent="0.2">
      <c r="A137" s="56"/>
      <c r="B137" s="78"/>
      <c r="D137" s="54"/>
      <c r="F137" s="46"/>
      <c r="I137" s="46"/>
      <c r="K137" s="157"/>
      <c r="L137" s="157"/>
      <c r="M137" s="157"/>
      <c r="N137" s="157"/>
    </row>
    <row r="138" spans="1:14" x14ac:dyDescent="0.2">
      <c r="A138" s="57" t="s">
        <v>248</v>
      </c>
      <c r="B138" s="84">
        <f>+B52</f>
        <v>0.76970766707941729</v>
      </c>
      <c r="C138" s="38"/>
      <c r="D138" s="54"/>
      <c r="F138" s="46"/>
      <c r="I138" s="46"/>
      <c r="K138" s="157"/>
      <c r="L138" s="157"/>
      <c r="M138" s="157"/>
      <c r="N138" s="157"/>
    </row>
    <row r="139" spans="1:14" x14ac:dyDescent="0.2">
      <c r="A139" s="56"/>
      <c r="B139" s="78"/>
      <c r="D139" s="54"/>
      <c r="F139" s="46"/>
      <c r="I139" s="46"/>
      <c r="K139" s="157"/>
      <c r="L139" s="157"/>
      <c r="M139" s="157"/>
      <c r="N139" s="157"/>
    </row>
    <row r="140" spans="1:14" ht="12.75" customHeight="1" x14ac:dyDescent="0.2">
      <c r="A140" s="59" t="s">
        <v>250</v>
      </c>
      <c r="B140" s="80"/>
      <c r="D140" s="54"/>
      <c r="F140" s="46"/>
      <c r="I140" s="46"/>
      <c r="K140" s="287" t="s">
        <v>353</v>
      </c>
      <c r="L140" s="287"/>
      <c r="M140" s="287"/>
      <c r="N140" s="285" t="s">
        <v>354</v>
      </c>
    </row>
    <row r="141" spans="1:14" x14ac:dyDescent="0.2">
      <c r="A141" s="59" t="s">
        <v>284</v>
      </c>
      <c r="B141" s="80">
        <f>+B56</f>
        <v>5.8370679231666292E-2</v>
      </c>
      <c r="C141" s="47"/>
      <c r="D141" s="52"/>
      <c r="E141" s="43"/>
      <c r="F141" s="46"/>
      <c r="I141" s="46"/>
      <c r="K141" s="160" t="s">
        <v>355</v>
      </c>
      <c r="L141" s="161">
        <f>+'BALANCES COMP'!C14+'BALANCES COMP'!C25+'BALANCES COMP'!C29</f>
        <v>6930995752.1800003</v>
      </c>
      <c r="M141" s="179" t="str">
        <f>IFERROR(+L141/'[1]CUADRO_27_BALANCES COMP'!$C$64,"")</f>
        <v/>
      </c>
      <c r="N141" s="285"/>
    </row>
    <row r="142" spans="1:14" ht="13.5" thickBot="1" x14ac:dyDescent="0.25">
      <c r="A142" s="60" t="s">
        <v>285</v>
      </c>
      <c r="B142" s="79">
        <f>+B58</f>
        <v>0.89525575989047557</v>
      </c>
      <c r="C142" s="45"/>
      <c r="D142" s="54"/>
      <c r="I142" s="46"/>
      <c r="K142" s="160" t="s">
        <v>356</v>
      </c>
      <c r="L142" s="161">
        <f>+'BALANCES COMP'!C17+'BALANCES COMP'!C37</f>
        <v>59239666662.599998</v>
      </c>
      <c r="M142" s="179" t="str">
        <f>IFERROR(+L142/'[1]CUADRO_27_BALANCES COMP'!$C$64,"")</f>
        <v/>
      </c>
      <c r="N142" s="285"/>
    </row>
    <row r="143" spans="1:14" ht="21" customHeight="1" x14ac:dyDescent="0.2">
      <c r="D143" s="54"/>
      <c r="F143" s="284" t="s">
        <v>275</v>
      </c>
      <c r="G143" s="43"/>
      <c r="H143" s="268" t="s">
        <v>286</v>
      </c>
      <c r="I143" s="269"/>
      <c r="K143" s="160" t="s">
        <v>357</v>
      </c>
      <c r="L143" s="161">
        <f>+'BALANCES COMP'!C44</f>
        <v>39493481233.5</v>
      </c>
      <c r="M143" s="179" t="str">
        <f>IFERROR(+L143/'[1]CUADRO_27_BALANCES COMP'!$C$64,"")</f>
        <v/>
      </c>
      <c r="N143" s="285"/>
    </row>
    <row r="144" spans="1:14" ht="23.25" customHeight="1" x14ac:dyDescent="0.2">
      <c r="D144" s="54"/>
      <c r="F144" s="284"/>
      <c r="G144" s="1" t="s">
        <v>273</v>
      </c>
      <c r="H144" s="270"/>
      <c r="I144" s="271"/>
      <c r="K144" s="160" t="s">
        <v>15</v>
      </c>
      <c r="L144" s="161">
        <f>+'BALANCES COMP'!C56+'BALANCES COMP'!C35</f>
        <v>1099117010.3</v>
      </c>
      <c r="M144" s="179" t="str">
        <f>IFERROR(+L144/'[1]CUADRO_27_BALANCES COMP'!$C$64,"")</f>
        <v/>
      </c>
      <c r="N144" s="285"/>
    </row>
    <row r="145" spans="1:14" x14ac:dyDescent="0.2">
      <c r="D145" s="54"/>
      <c r="H145" s="48"/>
      <c r="K145" s="157"/>
      <c r="L145" s="157"/>
      <c r="M145" s="157"/>
      <c r="N145" s="157"/>
    </row>
    <row r="146" spans="1:14" x14ac:dyDescent="0.2">
      <c r="D146" s="54"/>
      <c r="H146" s="54"/>
      <c r="K146" s="157"/>
      <c r="L146" s="157"/>
      <c r="M146" s="157"/>
      <c r="N146" s="157"/>
    </row>
    <row r="147" spans="1:14" ht="24" customHeight="1" x14ac:dyDescent="0.2">
      <c r="A147" s="276" t="s">
        <v>287</v>
      </c>
      <c r="B147" s="277"/>
      <c r="C147" s="49"/>
      <c r="D147" s="52"/>
      <c r="E147" s="43"/>
      <c r="H147" s="274" t="s">
        <v>288</v>
      </c>
      <c r="I147" s="275"/>
      <c r="K147" s="285" t="s">
        <v>283</v>
      </c>
      <c r="L147" s="285" t="s">
        <v>358</v>
      </c>
      <c r="M147" s="285"/>
      <c r="N147" s="157"/>
    </row>
    <row r="148" spans="1:14" x14ac:dyDescent="0.2">
      <c r="A148" s="278"/>
      <c r="B148" s="279"/>
      <c r="D148" s="54"/>
      <c r="F148" s="46"/>
      <c r="H148" s="61"/>
      <c r="I148" s="51"/>
      <c r="K148" s="285"/>
      <c r="L148" s="285"/>
      <c r="M148" s="285"/>
      <c r="N148" s="157"/>
    </row>
    <row r="149" spans="1:14" x14ac:dyDescent="0.2">
      <c r="A149" s="62"/>
      <c r="B149" s="63"/>
      <c r="D149" s="54"/>
      <c r="F149" s="46"/>
      <c r="H149" s="61"/>
      <c r="I149" s="64"/>
      <c r="K149" s="285"/>
      <c r="L149" s="285"/>
      <c r="M149" s="285"/>
      <c r="N149" s="157"/>
    </row>
    <row r="150" spans="1:14" x14ac:dyDescent="0.2">
      <c r="A150" s="280" t="s">
        <v>289</v>
      </c>
      <c r="B150" s="281"/>
      <c r="D150" s="54"/>
      <c r="F150" s="46"/>
      <c r="I150" s="46"/>
      <c r="K150" s="157"/>
      <c r="L150" s="157"/>
      <c r="M150" s="157"/>
      <c r="N150" s="157"/>
    </row>
    <row r="151" spans="1:14" x14ac:dyDescent="0.2">
      <c r="A151" s="282"/>
      <c r="B151" s="283"/>
      <c r="D151" s="54"/>
      <c r="F151" s="46"/>
      <c r="I151" s="46"/>
      <c r="K151" s="157"/>
      <c r="L151" s="157"/>
      <c r="M151" s="157"/>
      <c r="N151" s="157"/>
    </row>
    <row r="152" spans="1:14" ht="45.75" customHeight="1" x14ac:dyDescent="0.2">
      <c r="D152" s="54"/>
      <c r="F152" s="46"/>
      <c r="H152" s="274" t="s">
        <v>290</v>
      </c>
      <c r="I152" s="275"/>
      <c r="K152" s="164" t="s">
        <v>291</v>
      </c>
      <c r="L152" s="285" t="s">
        <v>359</v>
      </c>
      <c r="M152" s="285"/>
      <c r="N152" s="157"/>
    </row>
    <row r="153" spans="1:14" x14ac:dyDescent="0.2">
      <c r="A153" s="65" t="s">
        <v>251</v>
      </c>
      <c r="B153" s="65"/>
      <c r="D153" s="54"/>
      <c r="F153" s="46"/>
      <c r="I153" s="58"/>
      <c r="K153" s="157"/>
      <c r="L153" s="157"/>
      <c r="M153" s="157"/>
      <c r="N153" s="157"/>
    </row>
    <row r="154" spans="1:14" ht="28.5" customHeight="1" x14ac:dyDescent="0.2">
      <c r="A154" s="66" t="s">
        <v>292</v>
      </c>
      <c r="B154" s="81">
        <f>+B65</f>
        <v>0.61978869890821575</v>
      </c>
      <c r="C154" s="37"/>
      <c r="D154" s="54"/>
      <c r="F154" s="46"/>
      <c r="I154" s="46"/>
      <c r="K154" s="164" t="s">
        <v>360</v>
      </c>
      <c r="L154" s="285" t="s">
        <v>361</v>
      </c>
      <c r="M154" s="285"/>
      <c r="N154" s="157"/>
    </row>
    <row r="155" spans="1:14" ht="27" customHeight="1" x14ac:dyDescent="0.2">
      <c r="A155" s="68" t="s">
        <v>293</v>
      </c>
      <c r="B155" s="82">
        <f>+B67</f>
        <v>0.3699164018584713</v>
      </c>
      <c r="C155" s="37"/>
      <c r="D155" s="54"/>
      <c r="F155" s="46"/>
      <c r="H155" s="274" t="s">
        <v>294</v>
      </c>
      <c r="I155" s="275"/>
      <c r="K155" s="164" t="s">
        <v>362</v>
      </c>
      <c r="L155" s="285" t="s">
        <v>363</v>
      </c>
      <c r="M155" s="285"/>
      <c r="N155" s="157"/>
    </row>
    <row r="156" spans="1:14" x14ac:dyDescent="0.2">
      <c r="A156" s="66"/>
      <c r="B156" s="81"/>
      <c r="D156" s="54"/>
      <c r="F156" s="46"/>
      <c r="K156" s="157"/>
      <c r="L156" s="157"/>
      <c r="M156" s="157"/>
      <c r="N156" s="157"/>
    </row>
    <row r="157" spans="1:14" x14ac:dyDescent="0.2">
      <c r="A157" s="65" t="s">
        <v>254</v>
      </c>
      <c r="B157" s="83"/>
      <c r="D157" s="54"/>
      <c r="F157" s="46"/>
      <c r="K157" s="157"/>
      <c r="L157" s="157"/>
      <c r="M157" s="157"/>
      <c r="N157" s="157"/>
    </row>
    <row r="158" spans="1:14" x14ac:dyDescent="0.2">
      <c r="A158" s="66" t="s">
        <v>293</v>
      </c>
      <c r="B158" s="81">
        <f>+B72</f>
        <v>1</v>
      </c>
      <c r="C158" s="69"/>
      <c r="D158" s="52"/>
      <c r="F158" s="46"/>
      <c r="K158" s="157"/>
      <c r="L158" s="157"/>
      <c r="M158" s="157"/>
      <c r="N158" s="157"/>
    </row>
    <row r="159" spans="1:14" x14ac:dyDescent="0.2">
      <c r="A159" s="66" t="s">
        <v>295</v>
      </c>
      <c r="B159" s="81">
        <f>+B74</f>
        <v>0</v>
      </c>
      <c r="C159" s="38"/>
      <c r="F159" s="46"/>
      <c r="K159" s="157"/>
      <c r="L159" s="157"/>
      <c r="M159" s="157"/>
      <c r="N159" s="157"/>
    </row>
    <row r="160" spans="1:14" x14ac:dyDescent="0.2">
      <c r="A160" s="68" t="s">
        <v>296</v>
      </c>
      <c r="B160" s="82">
        <f>+B76</f>
        <v>13.967848568670558</v>
      </c>
      <c r="C160" s="37"/>
      <c r="F160" s="46"/>
      <c r="K160" s="157"/>
      <c r="L160" s="157"/>
      <c r="M160" s="157"/>
      <c r="N160" s="157"/>
    </row>
    <row r="161" spans="1:14" x14ac:dyDescent="0.2">
      <c r="A161" s="66"/>
      <c r="B161" s="66"/>
      <c r="F161" s="46"/>
      <c r="K161" s="157"/>
      <c r="L161" s="157"/>
      <c r="M161" s="157"/>
      <c r="N161" s="157"/>
    </row>
    <row r="162" spans="1:14" x14ac:dyDescent="0.2">
      <c r="A162" s="302" t="s">
        <v>258</v>
      </c>
      <c r="B162" s="303"/>
      <c r="F162" s="49"/>
      <c r="G162" s="43"/>
      <c r="H162" s="43"/>
      <c r="K162" s="157"/>
      <c r="L162" s="157"/>
      <c r="M162" s="157"/>
      <c r="N162" s="157"/>
    </row>
    <row r="163" spans="1:14" x14ac:dyDescent="0.2">
      <c r="A163" s="71"/>
      <c r="B163" s="72"/>
      <c r="I163" s="46"/>
      <c r="K163" s="157"/>
      <c r="L163" s="157"/>
      <c r="M163" s="157"/>
      <c r="N163" s="157"/>
    </row>
    <row r="164" spans="1:14" ht="12.75" customHeight="1" x14ac:dyDescent="0.2">
      <c r="A164" s="65" t="s">
        <v>297</v>
      </c>
      <c r="B164" s="65"/>
      <c r="I164" s="46"/>
      <c r="K164" s="285" t="s">
        <v>300</v>
      </c>
      <c r="L164" s="285" t="s">
        <v>365</v>
      </c>
      <c r="M164" s="285"/>
      <c r="N164" s="157"/>
    </row>
    <row r="165" spans="1:14" ht="12.75" customHeight="1" x14ac:dyDescent="0.2">
      <c r="A165" s="66" t="s">
        <v>298</v>
      </c>
      <c r="B165" s="67">
        <f>+B82</f>
        <v>0.93319013114155247</v>
      </c>
      <c r="C165" s="37"/>
      <c r="E165" s="272" t="s">
        <v>275</v>
      </c>
      <c r="F165" s="43"/>
      <c r="G165" s="52"/>
      <c r="H165" s="268" t="s">
        <v>299</v>
      </c>
      <c r="I165" s="269"/>
      <c r="J165" s="49"/>
      <c r="K165" s="285"/>
      <c r="L165" s="285"/>
      <c r="M165" s="285"/>
      <c r="N165" s="157"/>
    </row>
    <row r="166" spans="1:14" x14ac:dyDescent="0.2">
      <c r="A166" s="66" t="s">
        <v>295</v>
      </c>
      <c r="B166" s="70">
        <f>+B84</f>
        <v>0</v>
      </c>
      <c r="C166" s="38"/>
      <c r="E166" s="273"/>
      <c r="F166" s="304" t="s">
        <v>274</v>
      </c>
      <c r="G166" s="305"/>
      <c r="H166" s="270"/>
      <c r="I166" s="271"/>
      <c r="J166" s="1" t="s">
        <v>277</v>
      </c>
      <c r="K166" s="285"/>
      <c r="L166" s="285"/>
      <c r="M166" s="285"/>
      <c r="N166" s="157"/>
    </row>
    <row r="167" spans="1:14" x14ac:dyDescent="0.2">
      <c r="A167" s="68" t="s">
        <v>301</v>
      </c>
      <c r="B167" s="73">
        <f>+B86</f>
        <v>2.5227054719746858</v>
      </c>
      <c r="C167" s="38"/>
      <c r="K167" s="285"/>
      <c r="L167" s="285"/>
      <c r="M167" s="285"/>
      <c r="N167" s="157"/>
    </row>
    <row r="168" spans="1:14" x14ac:dyDescent="0.2">
      <c r="A168" s="66"/>
      <c r="B168" s="70"/>
      <c r="C168" s="38"/>
      <c r="K168" s="285"/>
      <c r="L168" s="285"/>
      <c r="M168" s="285"/>
      <c r="N168" s="157"/>
    </row>
    <row r="169" spans="1:14" x14ac:dyDescent="0.2">
      <c r="A169" s="66" t="s">
        <v>302</v>
      </c>
      <c r="B169" s="70">
        <f>+B90</f>
        <v>0.4770561135188302</v>
      </c>
      <c r="C169" s="38"/>
      <c r="K169" s="157"/>
      <c r="L169" s="157"/>
      <c r="M169" s="157"/>
      <c r="N169" s="157"/>
    </row>
    <row r="170" spans="1:14" x14ac:dyDescent="0.2">
      <c r="A170" s="66"/>
      <c r="B170" s="70"/>
      <c r="C170" s="38"/>
      <c r="K170" s="157"/>
      <c r="L170" s="157"/>
      <c r="M170" s="157"/>
      <c r="N170" s="157"/>
    </row>
    <row r="171" spans="1:14" x14ac:dyDescent="0.2">
      <c r="A171" s="65" t="s">
        <v>303</v>
      </c>
      <c r="B171" s="74"/>
      <c r="C171" s="38"/>
      <c r="K171" s="157"/>
      <c r="L171" s="157"/>
      <c r="M171" s="157"/>
      <c r="N171" s="157"/>
    </row>
    <row r="172" spans="1:14" x14ac:dyDescent="0.2">
      <c r="A172" s="68" t="s">
        <v>304</v>
      </c>
      <c r="B172" s="73">
        <f>+B94</f>
        <v>9.2769033898089308</v>
      </c>
      <c r="C172" s="38"/>
      <c r="K172" s="157"/>
      <c r="L172" s="157"/>
      <c r="M172" s="157"/>
      <c r="N172" s="157"/>
    </row>
    <row r="173" spans="1:14" x14ac:dyDescent="0.2">
      <c r="A173" s="68"/>
      <c r="B173" s="68"/>
      <c r="K173" s="157"/>
      <c r="L173" s="157"/>
      <c r="M173" s="157"/>
      <c r="N173" s="157"/>
    </row>
    <row r="174" spans="1:14" ht="13.5" thickBot="1" x14ac:dyDescent="0.25">
      <c r="K174" s="157"/>
      <c r="L174" s="157"/>
      <c r="M174" s="157"/>
      <c r="N174" s="157"/>
    </row>
    <row r="175" spans="1:14" x14ac:dyDescent="0.2">
      <c r="A175" s="292" t="s">
        <v>305</v>
      </c>
      <c r="B175" s="293"/>
      <c r="C175" s="49"/>
      <c r="D175" s="43"/>
      <c r="E175" s="43"/>
      <c r="F175" s="43"/>
      <c r="G175" s="43"/>
      <c r="H175" s="43"/>
      <c r="K175" s="157"/>
      <c r="L175" s="157"/>
      <c r="M175" s="157"/>
      <c r="N175" s="157"/>
    </row>
    <row r="176" spans="1:14" x14ac:dyDescent="0.2">
      <c r="A176" s="294"/>
      <c r="B176" s="295"/>
      <c r="I176" s="46"/>
      <c r="K176" s="157"/>
      <c r="L176" s="157"/>
      <c r="M176" s="157"/>
      <c r="N176" s="157"/>
    </row>
    <row r="177" spans="1:14" ht="13.5" thickBot="1" x14ac:dyDescent="0.25">
      <c r="A177" s="296"/>
      <c r="B177" s="297"/>
      <c r="I177" s="46"/>
      <c r="K177" s="157"/>
      <c r="L177" s="157"/>
      <c r="M177" s="157"/>
      <c r="N177" s="157"/>
    </row>
    <row r="178" spans="1:14" ht="12.75" customHeight="1" x14ac:dyDescent="0.2">
      <c r="A178" s="298" t="s">
        <v>265</v>
      </c>
      <c r="B178" s="300">
        <f>+B98</f>
        <v>29.319623054512729</v>
      </c>
      <c r="E178" s="272" t="s">
        <v>275</v>
      </c>
      <c r="F178" s="43"/>
      <c r="G178" s="52" t="s">
        <v>274</v>
      </c>
      <c r="H178" s="268" t="s">
        <v>306</v>
      </c>
      <c r="I178" s="269"/>
      <c r="J178" s="49"/>
      <c r="K178" s="285" t="s">
        <v>307</v>
      </c>
      <c r="L178" s="285" t="s">
        <v>366</v>
      </c>
      <c r="M178" s="285"/>
      <c r="N178" s="157"/>
    </row>
    <row r="179" spans="1:14" x14ac:dyDescent="0.2">
      <c r="A179" s="299"/>
      <c r="B179" s="301"/>
      <c r="E179" s="273"/>
      <c r="H179" s="270"/>
      <c r="I179" s="271"/>
      <c r="J179" s="1" t="s">
        <v>277</v>
      </c>
      <c r="K179" s="285"/>
      <c r="L179" s="285"/>
      <c r="M179" s="285"/>
      <c r="N179" s="157"/>
    </row>
    <row r="180" spans="1:14" x14ac:dyDescent="0.2">
      <c r="A180" s="288" t="s">
        <v>313</v>
      </c>
      <c r="B180" s="290">
        <f>+B102</f>
        <v>424.53565988229673</v>
      </c>
      <c r="K180" s="285"/>
      <c r="L180" s="285"/>
      <c r="M180" s="285"/>
      <c r="N180" s="157"/>
    </row>
    <row r="181" spans="1:14" ht="13.5" thickBot="1" x14ac:dyDescent="0.25">
      <c r="A181" s="289"/>
      <c r="B181" s="291"/>
      <c r="K181" s="285"/>
      <c r="L181" s="285"/>
      <c r="M181" s="285"/>
      <c r="N181" s="157"/>
    </row>
    <row r="182" spans="1:14" x14ac:dyDescent="0.2">
      <c r="K182" s="285"/>
      <c r="L182" s="285"/>
      <c r="M182" s="285"/>
      <c r="N182" s="157"/>
    </row>
    <row r="183" spans="1:14" ht="12.75" customHeight="1" x14ac:dyDescent="0.2">
      <c r="K183" s="285"/>
      <c r="L183" s="310" t="s">
        <v>364</v>
      </c>
      <c r="M183" s="311"/>
      <c r="N183" s="157"/>
    </row>
    <row r="184" spans="1:14" x14ac:dyDescent="0.2">
      <c r="K184" s="285"/>
      <c r="L184" s="312"/>
      <c r="M184" s="313"/>
      <c r="N184" s="157"/>
    </row>
  </sheetData>
  <sheetProtection algorithmName="SHA-512" hashValue="fzAgOj3IyHqp6XKOAxK+KUdNhKhslv4Hgb1J+tf7YLNuScsGYiC2Th5pQyqB5frGek2f7hj1qNYA3ncH/dMf0A==" saltValue="TydJy+sN8FTEYs3vA26ltw==" spinCount="100000" sheet="1" objects="1" scenarios="1"/>
  <mergeCells count="45">
    <mergeCell ref="L178:M182"/>
    <mergeCell ref="L183:M184"/>
    <mergeCell ref="N140:N144"/>
    <mergeCell ref="K147:K149"/>
    <mergeCell ref="L147:M149"/>
    <mergeCell ref="L152:M152"/>
    <mergeCell ref="L154:M154"/>
    <mergeCell ref="L155:M155"/>
    <mergeCell ref="L164:M168"/>
    <mergeCell ref="K164:K168"/>
    <mergeCell ref="N125:N129"/>
    <mergeCell ref="K131:K132"/>
    <mergeCell ref="N131:N132"/>
    <mergeCell ref="L133:M133"/>
    <mergeCell ref="L134:M134"/>
    <mergeCell ref="K125:M125"/>
    <mergeCell ref="K135:K136"/>
    <mergeCell ref="L135:M136"/>
    <mergeCell ref="K140:M140"/>
    <mergeCell ref="A180:A181"/>
    <mergeCell ref="B180:B181"/>
    <mergeCell ref="A175:B177"/>
    <mergeCell ref="A178:A179"/>
    <mergeCell ref="B178:B179"/>
    <mergeCell ref="E178:E179"/>
    <mergeCell ref="H178:I179"/>
    <mergeCell ref="H155:I155"/>
    <mergeCell ref="A162:B162"/>
    <mergeCell ref="E165:E166"/>
    <mergeCell ref="H165:I166"/>
    <mergeCell ref="F166:G166"/>
    <mergeCell ref="K178:K184"/>
    <mergeCell ref="H129:I129"/>
    <mergeCell ref="A147:B148"/>
    <mergeCell ref="H147:I147"/>
    <mergeCell ref="A150:B151"/>
    <mergeCell ref="H152:I152"/>
    <mergeCell ref="H132:I133"/>
    <mergeCell ref="F143:F144"/>
    <mergeCell ref="H143:I144"/>
    <mergeCell ref="A112:B112"/>
    <mergeCell ref="H118:I119"/>
    <mergeCell ref="F122:F123"/>
    <mergeCell ref="H122:I123"/>
    <mergeCell ref="A126:B126"/>
  </mergeCells>
  <pageMargins left="0.51181102362204722" right="0.31496062992125984" top="0.74803149606299213" bottom="0.74803149606299213" header="0.31496062992125984" footer="0.31496062992125984"/>
  <pageSetup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Hojas de cálculo</vt:lpstr>
      </vt:variant>
      <vt:variant>
        <vt:i4>4</vt:i4>
      </vt:variant>
      <vt:variant>
        <vt:lpstr>Gráficos</vt:lpstr>
      </vt:variant>
      <vt:variant>
        <vt:i4>4</vt:i4>
      </vt:variant>
      <vt:variant>
        <vt:lpstr>Rangos con nombre</vt:lpstr>
      </vt:variant>
      <vt:variant>
        <vt:i4>3</vt:i4>
      </vt:variant>
    </vt:vector>
  </HeadingPairs>
  <TitlesOfParts>
    <vt:vector size="11" baseType="lpstr">
      <vt:lpstr>BALANCES COMP</vt:lpstr>
      <vt:lpstr>RESULTADOS DESAGR</vt:lpstr>
      <vt:lpstr>ANALISIS FINANCIERO ESE</vt:lpstr>
      <vt:lpstr>EVALUACION GLOBAL</vt:lpstr>
      <vt:lpstr>BALANCES</vt:lpstr>
      <vt:lpstr>RESULTADOS</vt:lpstr>
      <vt:lpstr>ACTIVO CTE</vt:lpstr>
      <vt:lpstr>ACTIVOS</vt:lpstr>
      <vt:lpstr>'ANALISIS FINANCIERO ESE'!Área_de_impresión</vt:lpstr>
      <vt:lpstr>'EVALUACION GLOBAL'!Área_de_impresión</vt:lpstr>
      <vt:lpstr>'ANALISIS FINANCIERO ESE'!Títulos_a_imprimir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HOSPITAL</dc:title>
  <dc:creator>MARIA DE LOS ANGELES</dc:creator>
  <cp:lastModifiedBy>USER-HRM</cp:lastModifiedBy>
  <cp:lastPrinted>2015-01-05T19:10:24Z</cp:lastPrinted>
  <dcterms:created xsi:type="dcterms:W3CDTF">1999-04-28T07:36:15Z</dcterms:created>
  <dcterms:modified xsi:type="dcterms:W3CDTF">2023-09-14T22:36:44Z</dcterms:modified>
</cp:coreProperties>
</file>